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D:\TE\Puolue\Minikraatit\"/>
    </mc:Choice>
  </mc:AlternateContent>
  <xr:revisionPtr revIDLastSave="0" documentId="10_ncr:8100000_{A394E021-A0AB-46F4-A58C-3655DDA84548}" xr6:coauthVersionLast="34" xr6:coauthVersionMax="34" xr10:uidLastSave="{00000000-0000-0000-0000-000000000000}"/>
  <bookViews>
    <workbookView xWindow="0" yWindow="0" windowWidth="16788" windowHeight="9756" activeTab="1" xr2:uid="{00000000-000D-0000-FFFF-FFFF00000000}"/>
  </bookViews>
  <sheets>
    <sheet name="U_tulot" sheetId="15" r:id="rId1"/>
    <sheet name="U_Kuitti_yhteis2019" sheetId="20" r:id="rId2"/>
    <sheet name="Palkkataulukko" sheetId="12" r:id="rId3"/>
    <sheet name="henkilötulot (2)" sheetId="23" r:id="rId4"/>
    <sheet name="Ihmismäärät" sheetId="6" r:id="rId5"/>
    <sheet name="henkilötulot" sheetId="22" r:id="rId6"/>
    <sheet name="V_tulot" sheetId="5" r:id="rId7"/>
    <sheet name="V_Kuitti" sheetId="11" r:id="rId8"/>
  </sheets>
  <definedNames>
    <definedName name="\a">#N/A</definedName>
    <definedName name="\b">#N/A</definedName>
    <definedName name="\c">#N/A</definedName>
    <definedName name="\d">#N/A</definedName>
    <definedName name="\f">#N/A</definedName>
    <definedName name="\g">#N/A</definedName>
    <definedName name="\h">#N/A</definedName>
    <definedName name="\k">#N/A</definedName>
    <definedName name="\l">#N/A</definedName>
    <definedName name="\p">#N/A</definedName>
    <definedName name="\r">#N/A</definedName>
    <definedName name="\s">#N/A</definedName>
    <definedName name="\t">#N/A</definedName>
    <definedName name="\w">#N/A</definedName>
    <definedName name="\x">#N/A</definedName>
    <definedName name="\y">#N/A</definedName>
    <definedName name="_">#N/A</definedName>
    <definedName name="__">#N/A</definedName>
    <definedName name="_01">#N/A</definedName>
    <definedName name="_02">#N/A</definedName>
    <definedName name="_03">#N/A</definedName>
    <definedName name="_04">#N/A</definedName>
    <definedName name="_05">#N/A</definedName>
    <definedName name="_06">#N/A</definedName>
    <definedName name="_07">#N/A</definedName>
    <definedName name="_08">#N/A</definedName>
    <definedName name="_09">#N/A</definedName>
    <definedName name="_10">#N/A</definedName>
    <definedName name="_11">#N/A</definedName>
    <definedName name="_12">#N/A</definedName>
    <definedName name="_1Tietokanta_alue_MI" localSheetId="3">#REF!</definedName>
    <definedName name="_1Tietokanta_alue_MI" localSheetId="1">#REF!</definedName>
    <definedName name="_1Tietokanta_alue_MI" localSheetId="0">#REF!</definedName>
    <definedName name="_1Tietokanta_alue_MI">#REF!</definedName>
    <definedName name="_1tietokanta_alue_MI_2" localSheetId="3">#REF!</definedName>
    <definedName name="_1tietokanta_alue_MI_2">#REF!</definedName>
    <definedName name="_DOWN__M_M_END_">#N/A</definedName>
    <definedName name="_END__RIGHT___U">#N/A</definedName>
    <definedName name="_END__RIGHT__RI">#N/A</definedName>
    <definedName name="_FOR_A1.1.1.1.A">#N/A</definedName>
    <definedName name="_FOR_A1.1.1.1.C">#N/A</definedName>
    <definedName name="_FOR_A1.1.1.1.D">#N/A</definedName>
    <definedName name="_FOR_A1.1.1.1.E">#N/A</definedName>
    <definedName name="_FOR_A1.1.150.1">#N/A</definedName>
    <definedName name="_FOR_A1.1.2.1.C">#N/A</definedName>
    <definedName name="_FOR_A1.1.2.1.D">#N/A</definedName>
    <definedName name="_FOR_A1.1.200.1">#N/A</definedName>
    <definedName name="_FOR_A1.1.40.1.">#N/A</definedName>
    <definedName name="_FOR_A1.1.475.1">#N/A</definedName>
    <definedName name="_FOR_A1.1.50.1.">#N/A</definedName>
    <definedName name="_FOR_A2.1.6.1.D">#N/A</definedName>
    <definedName name="_FOR_A3.1.1.C5.">#N/A</definedName>
    <definedName name="_FOR_A61.1.1.1.">#N/A</definedName>
    <definedName name="_FOR_A61.1.1.D6">#N/A</definedName>
    <definedName name="_FOR_AQ1.1.100.">#N/A</definedName>
    <definedName name="_GOTO_A17_">#N/A</definedName>
    <definedName name="_GOTO_A22_">#N/A</definedName>
    <definedName name="_GOTO_E20__M_M_">#N/A</definedName>
    <definedName name="_GOTO_E22__M_M_">#N/A</definedName>
    <definedName name="_GOTO_F20__IF_F">#N/A</definedName>
    <definedName name="_GOTO_F20__M_M_">#N/A</definedName>
    <definedName name="_GOTO_F22__IF_F">#N/A</definedName>
    <definedName name="_GOTO_F22__M_M_">#N/A</definedName>
    <definedName name="_IF_A20_0__BRAN">#N/A</definedName>
    <definedName name="_IF_A22_0__BRAN">#N/A</definedName>
    <definedName name="_IF_A22_F22__BR">#N/A</definedName>
    <definedName name="_KKL80">#N/A</definedName>
    <definedName name="_KKL81">#N/A</definedName>
    <definedName name="_KKL82">#N/A</definedName>
    <definedName name="_KKL83">#N/A</definedName>
    <definedName name="_KKL84">#N/A</definedName>
    <definedName name="_KKL85">#N/A</definedName>
    <definedName name="_KKL86">#N/A</definedName>
    <definedName name="_KKL87">#N/A</definedName>
    <definedName name="_KKL88">#N/A</definedName>
    <definedName name="_KY86">#N/A</definedName>
    <definedName name="_M_C_DOWN___DOW">#N/A</definedName>
    <definedName name="_M_C_DOWN_11___">#N/A</definedName>
    <definedName name="_M_C_DOWN_3__RI">#N/A</definedName>
    <definedName name="_M_C_RIGHT_7__D">#N/A</definedName>
    <definedName name="_M_DR_DOWN___DO">#N/A</definedName>
    <definedName name="_M_DR_DOWN_21__">#N/A</definedName>
    <definedName name="_M_E_ESC__LEFT_">#N/A</definedName>
    <definedName name="_M_IR__DOWN_14_">#N/A</definedName>
    <definedName name="_M_IR__DOWN_15_">#N/A</definedName>
    <definedName name="_M_IR__DOWN_7_">#N/A</definedName>
    <definedName name="_M_IR_DOWN___DO">#N/A</definedName>
    <definedName name="_M_IR_DOWN_10__">#N/A</definedName>
    <definedName name="_M_IR_DOWN_11__">#N/A</definedName>
    <definedName name="_M_IR_DOWN_12__">#N/A</definedName>
    <definedName name="_M_IR_DOWN_13__">#N/A</definedName>
    <definedName name="_M_IR_DOWN_14__">#N/A</definedName>
    <definedName name="_M_M__LEFT_23__">#N/A</definedName>
    <definedName name="_M_M_DOWN___LEF">#N/A</definedName>
    <definedName name="_M_M_END__RIGHT">#N/A</definedName>
    <definedName name="_M_M_ESC__UP__R">#N/A</definedName>
    <definedName name="_M_M_RIGHT_20__">#N/A</definedName>
    <definedName name="_M_M_RIGHT_3___">#N/A</definedName>
    <definedName name="_MENU_C_DOWN_3_">#N/A</definedName>
    <definedName name="_MENU_IR_DOWN_8">#N/A</definedName>
    <definedName name="_MENU_RT_RIGHT_">#N/A</definedName>
    <definedName name="_POM88">#N/A</definedName>
    <definedName name="_POM90">#N/A</definedName>
    <definedName name="_POT88">#N/A</definedName>
    <definedName name="_POT90">#N/A</definedName>
    <definedName name="_RAH80">#N/A</definedName>
    <definedName name="_RAH81">#N/A</definedName>
    <definedName name="_RAH82">#N/A</definedName>
    <definedName name="_RAH83">#N/A</definedName>
    <definedName name="_RAH84">#N/A</definedName>
    <definedName name="_RAH85">#N/A</definedName>
    <definedName name="_RAH86">#N/A</definedName>
    <definedName name="_RAH87">#N/A</definedName>
    <definedName name="_RAH88">#N/A</definedName>
    <definedName name="_S_FR_ESC__ESC_">#N/A</definedName>
    <definedName name="_SAR1">#N/A</definedName>
    <definedName name="_SAR10">#N/A</definedName>
    <definedName name="_SAR11">#N/A</definedName>
    <definedName name="_SAR12">#N/A</definedName>
    <definedName name="_SAR13">#N/A</definedName>
    <definedName name="_SAR14">#N/A</definedName>
    <definedName name="_SAR15">#N/A</definedName>
    <definedName name="_SAR2">#N/A</definedName>
    <definedName name="_SAR21">#N/A</definedName>
    <definedName name="_SAR22">#N/A</definedName>
    <definedName name="_SAR23">#N/A</definedName>
    <definedName name="_SAR3">#N/A</definedName>
    <definedName name="_SAR4">#N/A</definedName>
    <definedName name="_SAR47">#N/A</definedName>
    <definedName name="_SAR5">#N/A</definedName>
    <definedName name="_SAR6">#N/A</definedName>
    <definedName name="_SAR7">#N/A</definedName>
    <definedName name="_SAR8">#N/A</definedName>
    <definedName name="_SAR9">#N/A</definedName>
    <definedName name="_SMR80">#N/A</definedName>
    <definedName name="_SMR81">#N/A</definedName>
    <definedName name="_SMR82">#N/A</definedName>
    <definedName name="_SMR83">#N/A</definedName>
    <definedName name="_SMR84">#N/A</definedName>
    <definedName name="_SMR85">#N/A</definedName>
    <definedName name="_SMR86">#N/A</definedName>
    <definedName name="_SMR87">#N/A</definedName>
    <definedName name="_SMR88">#N/A</definedName>
    <definedName name="_TAL86">#N/A</definedName>
    <definedName name="_TL80">#N/A</definedName>
    <definedName name="_TL81">#N/A</definedName>
    <definedName name="_TL82">#N/A</definedName>
    <definedName name="_TL83">#N/A</definedName>
    <definedName name="_TL84">#N/A</definedName>
    <definedName name="_TL85">#N/A</definedName>
    <definedName name="_TL87">#N/A</definedName>
    <definedName name="_TL88">#N/A</definedName>
    <definedName name="_TP2">#N/A</definedName>
    <definedName name="AAA">#N/A</definedName>
    <definedName name="ALIJ80">#N/A</definedName>
    <definedName name="ALIJ81">#N/A</definedName>
    <definedName name="ALIJ82">#N/A</definedName>
    <definedName name="ALIJ83">#N/A</definedName>
    <definedName name="ALIJ84">#N/A</definedName>
    <definedName name="ALIJ85">#N/A</definedName>
    <definedName name="AS.LUKU65">#N/A</definedName>
    <definedName name="AS.LUKU70">#N/A</definedName>
    <definedName name="AS.LUKU75">#N/A</definedName>
    <definedName name="AS.LUKU80">#N/A</definedName>
    <definedName name="AS.LUKU81">#N/A</definedName>
    <definedName name="AS.LUKU82">#N/A</definedName>
    <definedName name="AS.LUKU83">#N/A</definedName>
    <definedName name="AS.LUKU84">#N/A</definedName>
    <definedName name="AS.LUKU85">#N/A</definedName>
    <definedName name="AS80_">#N/A</definedName>
    <definedName name="AS81_">#N/A</definedName>
    <definedName name="AS82_">#N/A</definedName>
    <definedName name="AS83_">#N/A</definedName>
    <definedName name="AS84_">#N/A</definedName>
    <definedName name="AS85_">#N/A</definedName>
    <definedName name="AS86_">#N/A</definedName>
    <definedName name="AS87_">#N/A</definedName>
    <definedName name="AS88_">#N/A</definedName>
    <definedName name="AS90_">#N/A</definedName>
    <definedName name="ASLU">#N/A</definedName>
    <definedName name="ASLU85">#N/A</definedName>
    <definedName name="ASLU86">#N/A</definedName>
    <definedName name="ASLUKU84">#N/A</definedName>
    <definedName name="ASLUKU85">#N/A</definedName>
    <definedName name="ASUKASL85">#N/A</definedName>
    <definedName name="ASUKK89">#N/A</definedName>
    <definedName name="CRIT">#N/A</definedName>
    <definedName name="DATABASE">#N/A</definedName>
    <definedName name="DATABASE_MI">#N/A</definedName>
    <definedName name="ENNLAI">#N/A</definedName>
    <definedName name="HINTA">#N/A</definedName>
    <definedName name="HINTA90">#N/A</definedName>
    <definedName name="INVEST.">#N/A</definedName>
    <definedName name="JÄRJ.T.">#N/A</definedName>
    <definedName name="JÄRJEST.T.">#N/A</definedName>
    <definedName name="KAAV.YL.">#N/A</definedName>
    <definedName name="KAAV.YT">#N/A</definedName>
    <definedName name="KAAVAT">#N/A</definedName>
    <definedName name="KAIKKI_KUNNAT">#N/A</definedName>
    <definedName name="KANKY_69">#N/A</definedName>
    <definedName name="KANKY_70">#N/A</definedName>
    <definedName name="KANKY_75">#N/A</definedName>
    <definedName name="KANKY_80">#N/A</definedName>
    <definedName name="KANKY_81">#N/A</definedName>
    <definedName name="KANKY_82">#N/A</definedName>
    <definedName name="KANKY_83">#N/A</definedName>
    <definedName name="KANKY_84">#N/A</definedName>
    <definedName name="KANKY_85">#N/A</definedName>
    <definedName name="KANKY_86">#N/A</definedName>
    <definedName name="KASSALAI">#N/A</definedName>
    <definedName name="KAUP">#N/A</definedName>
    <definedName name="KAUPINGIT">#N/A</definedName>
    <definedName name="KIINT.">#N/A</definedName>
    <definedName name="KIINT88">#N/A</definedName>
    <definedName name="KLT">#N/A</definedName>
    <definedName name="KOKMENOT85">#N/A</definedName>
    <definedName name="KOKOMAA">#N/A</definedName>
    <definedName name="KOLMAS">#N/A</definedName>
    <definedName name="KOLMASB">#N/A</definedName>
    <definedName name="KOLMASC">#N/A</definedName>
    <definedName name="KORKOT">#N/A</definedName>
    <definedName name="KOROT">#N/A</definedName>
    <definedName name="KOROTUS88">#N/A</definedName>
    <definedName name="KTMLUV88">#N/A</definedName>
    <definedName name="KTMMOM88">#N/A</definedName>
    <definedName name="KTTLUV88">#N/A</definedName>
    <definedName name="KTTMOM88">#N/A</definedName>
    <definedName name="KUFIL_AB">#N/A</definedName>
    <definedName name="KUFIL_CR">#N/A</definedName>
    <definedName name="KUFIL_DB">#N/A</definedName>
    <definedName name="KUFIL_DF">#N/A</definedName>
    <definedName name="KUFIL_EN">#N/A</definedName>
    <definedName name="KUFIL_MA">#N/A</definedName>
    <definedName name="KUMU">#N/A</definedName>
    <definedName name="KUMU86">#N/A</definedName>
    <definedName name="KUNN.VERO">#N/A</definedName>
    <definedName name="KUNNAT">#N/A</definedName>
    <definedName name="KUNTA">#N/A</definedName>
    <definedName name="KUNTA_LÄÄNI">#N/A</definedName>
    <definedName name="KUNTAMUOTO">#N/A</definedName>
    <definedName name="KÄYTTÖM.">#N/A</definedName>
    <definedName name="KÄYTTÖM.85">#N/A</definedName>
    <definedName name="LAINAN_">#N/A</definedName>
    <definedName name="LASKKOROT">#N/A</definedName>
    <definedName name="LIIKE88">#N/A</definedName>
    <definedName name="LIIKEL.">#N/A</definedName>
    <definedName name="LOPUT">#N/A</definedName>
    <definedName name="LUOKKA89">#N/A</definedName>
    <definedName name="LUOKKA90">#N/A</definedName>
    <definedName name="LÄÄNI">#N/A</definedName>
    <definedName name="LÄÄNI_KUNTA">#N/A</definedName>
    <definedName name="MAK">#N/A</definedName>
    <definedName name="MAKS.JA">#N/A</definedName>
    <definedName name="MENOT">#N/A</definedName>
    <definedName name="MENOT90">#N/A</definedName>
    <definedName name="MOVE1">#N/A</definedName>
    <definedName name="MOVE1B">#N/A</definedName>
    <definedName name="MOVE1C">#N/A</definedName>
    <definedName name="MOVE2">#N/A</definedName>
    <definedName name="MOVE2B">#N/A</definedName>
    <definedName name="MOVE2C">#N/A</definedName>
    <definedName name="MOVE3">#N/A</definedName>
    <definedName name="MOVE3B">#N/A</definedName>
    <definedName name="MOVE3C">#N/A</definedName>
    <definedName name="MUULAI">#N/A</definedName>
    <definedName name="MUUT">#N/A</definedName>
    <definedName name="MUUT_HM.">#N/A</definedName>
    <definedName name="MUUT_KUNNAT">#N/A</definedName>
    <definedName name="NIMI">#N/A</definedName>
    <definedName name="OSUUDET">#N/A</definedName>
    <definedName name="OTSIKOT">#N/A</definedName>
    <definedName name="PALKAT">#N/A</definedName>
    <definedName name="PALKKA88">#N/A</definedName>
    <definedName name="PERUSTIEDOT">#N/A</definedName>
    <definedName name="PRINT_AREA">#N/A</definedName>
    <definedName name="PRINT_TITLES">#N/A</definedName>
    <definedName name="PRINT1">#N/A</definedName>
    <definedName name="PRINT1B">#N/A</definedName>
    <definedName name="PRINT1C">#N/A</definedName>
    <definedName name="PÄÄOMAM.">#N/A</definedName>
    <definedName name="PÄÄOMAM.85">#N/A</definedName>
    <definedName name="PÄÄOMAT.">#N/A</definedName>
    <definedName name="QUIT">#N/A</definedName>
    <definedName name="RAH.TOIMI">#N/A</definedName>
    <definedName name="RAHM29PL">#N/A</definedName>
    <definedName name="RAHM8PL">#N/A</definedName>
    <definedName name="RAHM9PL">#N/A</definedName>
    <definedName name="RAHOIT.">#N/A</definedName>
    <definedName name="RAHT18PL">#N/A</definedName>
    <definedName name="RAHT19PL">#N/A</definedName>
    <definedName name="RAHT29PL">#N/A</definedName>
    <definedName name="SAR">#N/A</definedName>
    <definedName name="SIIRTO">#N/A</definedName>
    <definedName name="SIJOITA">#N/A</definedName>
    <definedName name="SILMUKKA">#N/A</definedName>
    <definedName name="SIV.T.">#N/A</definedName>
    <definedName name="SIV.TOIMI">#N/A</definedName>
    <definedName name="SOS.T.">#N/A</definedName>
    <definedName name="SOS.TOIMI">#N/A</definedName>
    <definedName name="SPSS">#N/A</definedName>
    <definedName name="T187_">#N/A</definedName>
    <definedName name="T287_">#N/A</definedName>
    <definedName name="T387_">#N/A</definedName>
    <definedName name="T84_">#N/A</definedName>
    <definedName name="TA_LAIN_AS65">#N/A</definedName>
    <definedName name="TA_LAIN_AS70">#N/A</definedName>
    <definedName name="TA_LAIN_AS75">#N/A</definedName>
    <definedName name="TA_LAIN_AS80">#N/A</definedName>
    <definedName name="TA_LAIN_AS81">#N/A</definedName>
    <definedName name="TA_LAIN_AS82">#N/A</definedName>
    <definedName name="TA_LAIN_AS83">#N/A</definedName>
    <definedName name="TA_LAIN_AS84">#N/A</definedName>
    <definedName name="TALLAI">#N/A</definedName>
    <definedName name="TAULPAA">#N/A</definedName>
    <definedName name="TEKSTI">#N/A</definedName>
    <definedName name="TERV.H">#N/A</definedName>
    <definedName name="TERV.HUOLTO">#N/A</definedName>
    <definedName name="_xlnm.Database">#N/A</definedName>
    <definedName name="TILIVEL">#N/A</definedName>
    <definedName name="TKANTA">#N/A</definedName>
    <definedName name="TOINEN">#N/A</definedName>
    <definedName name="TOINENB">#N/A</definedName>
    <definedName name="TOINENC">#N/A</definedName>
    <definedName name="TOTU1">#N/A</definedName>
    <definedName name="_xlnm.Print_Area" localSheetId="3">'henkilötulot (2)'!$A$1:$I$60</definedName>
    <definedName name="_xlnm.Print_Area" localSheetId="1">U_Kuitti_yhteis2019!$A$1:$S$86</definedName>
    <definedName name="_xlnm.Print_Area" localSheetId="0">U_tulot!$B$1:$I$123</definedName>
    <definedName name="_xlnm.Print_Area" localSheetId="6">V_tulot!$B$1:$H$805</definedName>
    <definedName name="_xlnm.Print_Area">#N/A</definedName>
    <definedName name="_xlnm.Print_Titles">#N/A</definedName>
    <definedName name="TULOT">#N/A</definedName>
    <definedName name="TULOT90">#N/A</definedName>
    <definedName name="VA0_8PL">#N/A</definedName>
    <definedName name="VALT.AVUT">#N/A</definedName>
    <definedName name="VARAT">#N/A</definedName>
    <definedName name="VELAT">#N/A</definedName>
    <definedName name="VEROT">#N/A</definedName>
    <definedName name="VEROT_YHT">#N/A</definedName>
    <definedName name="VEROTULOT">#N/A</definedName>
    <definedName name="VEROVEL">#N/A</definedName>
    <definedName name="VERT1">#N/A</definedName>
    <definedName name="VERT1B">#N/A</definedName>
    <definedName name="VERT1C">#N/A</definedName>
    <definedName name="VERT2">#N/A</definedName>
    <definedName name="VERT2B">#N/A</definedName>
    <definedName name="VERT2C">#N/A</definedName>
    <definedName name="VERT3">#N/A</definedName>
    <definedName name="VERT3B">#N/A</definedName>
    <definedName name="VERT3C">#N/A</definedName>
    <definedName name="VERTAA">#N/A</definedName>
    <definedName name="VVAS87">#N/A</definedName>
    <definedName name="VVPÄ87">#N/A</definedName>
    <definedName name="XXX">#N/A</definedName>
    <definedName name="YHT">#N/A</definedName>
    <definedName name="YLEISH.">#N/A</definedName>
    <definedName name="YLIALI87">#N/A</definedName>
    <definedName name="YLIJ80">#N/A</definedName>
    <definedName name="YLIJ81">#N/A</definedName>
    <definedName name="YLIJ82">#N/A</definedName>
    <definedName name="YLIJ83">#N/A</definedName>
    <definedName name="YLIJ84">#N/A</definedName>
    <definedName name="YLIJ85">#N/A</definedName>
    <definedName name="YYY">#N/A</definedName>
    <definedName name="ZZZ">#N/A</definedName>
    <definedName name="ÄH80">#N/A</definedName>
    <definedName name="ÄH81">#N/A</definedName>
    <definedName name="ÄH82">#N/A</definedName>
    <definedName name="ÄH83">#N/A</definedName>
    <definedName name="ÄH84">#N/A</definedName>
    <definedName name="ÄH85">#N/A</definedName>
    <definedName name="ÄH86">#N/A</definedName>
    <definedName name="ÄH87">#N/A</definedName>
    <definedName name="ÄH88">#N/A</definedName>
    <definedName name="ÄHINTA_65">#N/A</definedName>
    <definedName name="ÄHINTA_70">#N/A</definedName>
    <definedName name="ÄHINTA_75">#N/A</definedName>
    <definedName name="ÄHINTA_80">#N/A</definedName>
    <definedName name="ÄHINTA_81">#N/A</definedName>
    <definedName name="ÄHINTA_82">#N/A</definedName>
    <definedName name="ÄHINTA_83">#N/A</definedName>
    <definedName name="ÄHINTA_84">#N/A</definedName>
    <definedName name="ÄHINTA_85">#N/A</definedName>
    <definedName name="ÄHINTA_86">#N/A</definedName>
    <definedName name="ÄM80">#N/A</definedName>
    <definedName name="ÄM81">#N/A</definedName>
    <definedName name="ÄM82">#N/A</definedName>
    <definedName name="ÄM83">#N/A</definedName>
    <definedName name="ÄM84">#N/A</definedName>
    <definedName name="ÄM85">#N/A</definedName>
    <definedName name="ÄM86">#N/A</definedName>
    <definedName name="ÄM88">#N/A</definedName>
    <definedName name="ÄY87">#N/A</definedName>
    <definedName name="ÄYREJÄ84">#N/A</definedName>
    <definedName name="ÄYRI">#N/A</definedName>
    <definedName name="ÄYRIT_AS65">#N/A</definedName>
    <definedName name="ÄYRIT_AS70">#N/A</definedName>
    <definedName name="ÄYRIT_AS75">#N/A</definedName>
    <definedName name="ÄYRIT_AS80">#N/A</definedName>
    <definedName name="ÄYRIT_AS81">#N/A</definedName>
    <definedName name="ÄYRIT_AS82">#N/A</definedName>
    <definedName name="ÄYRIT_AS83">#N/A</definedName>
    <definedName name="ÄYRIT_AS84">#N/A</definedName>
    <definedName name="ÄYRIT88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0" l="1"/>
  <c r="C29" i="23" l="1"/>
  <c r="D6" i="23"/>
  <c r="D2" i="23"/>
  <c r="K79" i="20" l="1"/>
  <c r="M79" i="20" s="1"/>
  <c r="C72" i="20"/>
  <c r="L79" i="20" l="1"/>
  <c r="O104" i="20"/>
  <c r="Q10" i="20"/>
  <c r="P10" i="20" s="1"/>
  <c r="I58" i="12"/>
  <c r="F12" i="20" l="1"/>
  <c r="R86" i="20"/>
  <c r="K68" i="20"/>
  <c r="M68" i="20" s="1"/>
  <c r="L68" i="20"/>
  <c r="Q122" i="20"/>
  <c r="Q120" i="20"/>
  <c r="Q118" i="20"/>
  <c r="O119" i="20"/>
  <c r="O118" i="20"/>
  <c r="O117" i="20"/>
  <c r="P122" i="20"/>
  <c r="P121" i="20"/>
  <c r="P120" i="20"/>
  <c r="P119" i="20"/>
  <c r="P118" i="20"/>
  <c r="P117" i="20"/>
  <c r="L93" i="20"/>
  <c r="L94" i="20" s="1"/>
  <c r="F17" i="20"/>
  <c r="F13" i="20"/>
  <c r="G13" i="20" s="1"/>
  <c r="K13" i="20" s="1"/>
  <c r="F11" i="20"/>
  <c r="G11" i="20" s="1"/>
  <c r="K11" i="20" s="1"/>
  <c r="M11" i="20" s="1"/>
  <c r="F7" i="20"/>
  <c r="G7" i="20" s="1"/>
  <c r="K7" i="20" s="1"/>
  <c r="F5" i="20"/>
  <c r="G5" i="20" s="1"/>
  <c r="K5" i="20" s="1"/>
  <c r="F48" i="20"/>
  <c r="F59" i="20"/>
  <c r="F57" i="20"/>
  <c r="U77" i="20"/>
  <c r="T78" i="20"/>
  <c r="T80" i="20" s="1"/>
  <c r="T82" i="20" s="1"/>
  <c r="U78" i="20" s="1"/>
  <c r="U76" i="20" s="1"/>
  <c r="L10" i="12" l="1"/>
  <c r="L13" i="12" s="1"/>
  <c r="M13" i="12" s="1"/>
  <c r="S118" i="20"/>
  <c r="M7" i="20"/>
  <c r="L7" i="20"/>
  <c r="L32" i="12"/>
  <c r="M32" i="12" s="1"/>
  <c r="L20" i="12"/>
  <c r="M20" i="12" s="1"/>
  <c r="U82" i="20"/>
  <c r="L28" i="12"/>
  <c r="M28" i="12" s="1"/>
  <c r="L19" i="12"/>
  <c r="M19" i="12" s="1"/>
  <c r="L36" i="12"/>
  <c r="M36" i="12" s="1"/>
  <c r="L27" i="12"/>
  <c r="M27" i="12" s="1"/>
  <c r="L16" i="12"/>
  <c r="M16" i="12" s="1"/>
  <c r="L11" i="20"/>
  <c r="L35" i="12"/>
  <c r="M35" i="12" s="1"/>
  <c r="L24" i="12"/>
  <c r="M24" i="12" s="1"/>
  <c r="L31" i="12"/>
  <c r="M31" i="12" s="1"/>
  <c r="L23" i="12"/>
  <c r="M23" i="12" s="1"/>
  <c r="L15" i="12"/>
  <c r="M15" i="12" s="1"/>
  <c r="L13" i="20"/>
  <c r="M13" i="20"/>
  <c r="L34" i="12"/>
  <c r="M34" i="12" s="1"/>
  <c r="L30" i="12"/>
  <c r="M30" i="12" s="1"/>
  <c r="L26" i="12"/>
  <c r="M26" i="12" s="1"/>
  <c r="L22" i="12"/>
  <c r="M22" i="12" s="1"/>
  <c r="L18" i="12"/>
  <c r="M18" i="12" s="1"/>
  <c r="L14" i="12"/>
  <c r="M14" i="12" s="1"/>
  <c r="L12" i="12"/>
  <c r="M12" i="12" s="1"/>
  <c r="L33" i="12"/>
  <c r="M33" i="12" s="1"/>
  <c r="L29" i="12"/>
  <c r="M29" i="12" s="1"/>
  <c r="L25" i="12"/>
  <c r="M25" i="12" s="1"/>
  <c r="L21" i="12"/>
  <c r="M21" i="12" s="1"/>
  <c r="L17" i="12"/>
  <c r="M17" i="12" s="1"/>
  <c r="L5" i="20"/>
  <c r="M5" i="20"/>
  <c r="D11" i="23"/>
  <c r="D10" i="23" s="1"/>
  <c r="E106" i="20" l="1"/>
  <c r="C106" i="20" s="1"/>
  <c r="D6" i="22" l="1"/>
  <c r="C35" i="23" l="1"/>
  <c r="C34" i="23" s="1"/>
  <c r="C40" i="23"/>
  <c r="C39" i="23" s="1"/>
  <c r="C72" i="22"/>
  <c r="C63" i="22"/>
  <c r="I40" i="23"/>
  <c r="C45" i="23"/>
  <c r="C44" i="23" s="1"/>
  <c r="C54" i="22"/>
  <c r="I39" i="23"/>
  <c r="D30" i="23"/>
  <c r="I33" i="23"/>
  <c r="H32" i="23"/>
  <c r="I28" i="23"/>
  <c r="H27" i="23"/>
  <c r="I23" i="23"/>
  <c r="H22" i="23"/>
  <c r="I18" i="23"/>
  <c r="H17" i="23"/>
  <c r="H52" i="23" s="1"/>
  <c r="I13" i="23"/>
  <c r="H12" i="23"/>
  <c r="H7" i="23"/>
  <c r="H53" i="23" s="1"/>
  <c r="H2" i="23"/>
  <c r="D25" i="23"/>
  <c r="C25" i="23"/>
  <c r="C24" i="23" s="1"/>
  <c r="D21" i="23"/>
  <c r="C20" i="23"/>
  <c r="C19" i="23" s="1"/>
  <c r="D16" i="23"/>
  <c r="D14" i="23" s="1"/>
  <c r="C15" i="23"/>
  <c r="C11" i="23"/>
  <c r="C10" i="23" s="1"/>
  <c r="C7" i="23"/>
  <c r="C6" i="23" s="1"/>
  <c r="I55" i="23"/>
  <c r="C3" i="23"/>
  <c r="C2" i="23" s="1"/>
  <c r="C14" i="23" l="1"/>
  <c r="C17" i="23" s="1"/>
  <c r="H40" i="23"/>
  <c r="H38" i="23" s="1"/>
  <c r="I38" i="23"/>
  <c r="D31" i="23"/>
  <c r="D29" i="23"/>
  <c r="C32" i="23" s="1"/>
  <c r="D19" i="23"/>
  <c r="I47" i="23" s="1"/>
  <c r="C8" i="23"/>
  <c r="C12" i="23"/>
  <c r="H55" i="23"/>
  <c r="H47" i="23"/>
  <c r="H46" i="23"/>
  <c r="D26" i="23"/>
  <c r="D24" i="23" s="1"/>
  <c r="H41" i="23"/>
  <c r="N157" i="22"/>
  <c r="N155" i="22"/>
  <c r="N156" i="22"/>
  <c r="C22" i="23" l="1"/>
  <c r="D22" i="23" s="1"/>
  <c r="I41" i="23"/>
  <c r="I37" i="23" s="1"/>
  <c r="C27" i="23"/>
  <c r="D27" i="23" s="1"/>
  <c r="D8" i="23"/>
  <c r="D32" i="23"/>
  <c r="D17" i="23"/>
  <c r="D12" i="23"/>
  <c r="D154" i="22"/>
  <c r="C153" i="22"/>
  <c r="D144" i="22"/>
  <c r="D146" i="22" s="1"/>
  <c r="C143" i="22"/>
  <c r="D143" i="22" l="1"/>
  <c r="E143" i="22" s="1"/>
  <c r="D158" i="22"/>
  <c r="D156" i="22"/>
  <c r="D153" i="22" s="1"/>
  <c r="N140" i="22"/>
  <c r="K139" i="22"/>
  <c r="N180" i="22"/>
  <c r="M180" i="22"/>
  <c r="L174" i="22"/>
  <c r="K174" i="22"/>
  <c r="N181" i="22" l="1"/>
  <c r="N182" i="22" s="1"/>
  <c r="J114" i="22"/>
  <c r="K116" i="22"/>
  <c r="K89" i="22" l="1"/>
  <c r="H89" i="22"/>
  <c r="I89" i="22"/>
  <c r="D135" i="22"/>
  <c r="C134" i="22"/>
  <c r="D126" i="22"/>
  <c r="C125" i="22"/>
  <c r="D117" i="22"/>
  <c r="C116" i="22"/>
  <c r="D108" i="22"/>
  <c r="D99" i="22"/>
  <c r="C107" i="22"/>
  <c r="C168" i="22" s="1"/>
  <c r="C98" i="22"/>
  <c r="C163" i="22" s="1"/>
  <c r="C89" i="22"/>
  <c r="C169" i="22" s="1"/>
  <c r="C80" i="22"/>
  <c r="D45" i="22"/>
  <c r="D46" i="22" s="1"/>
  <c r="D44" i="22" s="1"/>
  <c r="D37" i="22"/>
  <c r="D35" i="22" s="1"/>
  <c r="D11" i="22"/>
  <c r="D171" i="22" s="1"/>
  <c r="C45" i="22"/>
  <c r="C44" i="22" s="1"/>
  <c r="C36" i="22"/>
  <c r="C28" i="22"/>
  <c r="C27" i="22" s="1"/>
  <c r="C12" i="22"/>
  <c r="C11" i="22" s="1"/>
  <c r="C171" i="22" s="1"/>
  <c r="D4" i="22"/>
  <c r="C5" i="22"/>
  <c r="C4" i="22" s="1"/>
  <c r="C160" i="22" s="1"/>
  <c r="D19" i="22"/>
  <c r="C20" i="22"/>
  <c r="C19" i="22" s="1"/>
  <c r="E19" i="22" s="1"/>
  <c r="K24" i="22"/>
  <c r="K27" i="22" s="1"/>
  <c r="K29" i="22" s="1"/>
  <c r="D33" i="22"/>
  <c r="D27" i="22" s="1"/>
  <c r="C53" i="22"/>
  <c r="C62" i="22"/>
  <c r="C71" i="22"/>
  <c r="F50" i="20"/>
  <c r="C45" i="20"/>
  <c r="F20" i="20"/>
  <c r="T72" i="20"/>
  <c r="U72" i="20" s="1"/>
  <c r="C75" i="20"/>
  <c r="D164" i="22" l="1"/>
  <c r="D159" i="22"/>
  <c r="D152" i="22" s="1"/>
  <c r="C35" i="22"/>
  <c r="C164" i="22" s="1"/>
  <c r="C159" i="22"/>
  <c r="D170" i="22"/>
  <c r="D165" i="22"/>
  <c r="C165" i="22"/>
  <c r="C170" i="22"/>
  <c r="C167" i="22" s="1"/>
  <c r="E11" i="22"/>
  <c r="E44" i="22"/>
  <c r="E4" i="22"/>
  <c r="E27" i="22"/>
  <c r="E14" i="6"/>
  <c r="H14" i="6" s="1"/>
  <c r="E20" i="6"/>
  <c r="H20" i="6" s="1"/>
  <c r="E18" i="6"/>
  <c r="H18" i="6" s="1"/>
  <c r="E17" i="6"/>
  <c r="H17" i="6" s="1"/>
  <c r="W156" i="20"/>
  <c r="W157" i="20" s="1"/>
  <c r="AB136" i="20"/>
  <c r="AK124" i="20"/>
  <c r="BH114" i="20" s="1"/>
  <c r="AE124" i="20"/>
  <c r="AG123" i="20"/>
  <c r="AH123" i="20" s="1"/>
  <c r="AG122" i="20"/>
  <c r="AH122" i="20" s="1"/>
  <c r="AB121" i="20"/>
  <c r="Z120" i="20"/>
  <c r="AB120" i="20" s="1"/>
  <c r="L120" i="20"/>
  <c r="AG119" i="20"/>
  <c r="AH119" i="20" s="1"/>
  <c r="L119" i="20"/>
  <c r="L118" i="20"/>
  <c r="AA115" i="20"/>
  <c r="BC107" i="20" s="1"/>
  <c r="Z115" i="20"/>
  <c r="AB116" i="20" s="1"/>
  <c r="BG114" i="20"/>
  <c r="BF114" i="20"/>
  <c r="BE114" i="20"/>
  <c r="BC114" i="20"/>
  <c r="BB114" i="20"/>
  <c r="BA114" i="20"/>
  <c r="AZ114" i="20"/>
  <c r="AY114" i="20"/>
  <c r="AG114" i="20"/>
  <c r="AH114" i="20" s="1"/>
  <c r="AA112" i="20"/>
  <c r="BC103" i="20" s="1"/>
  <c r="Z112" i="20"/>
  <c r="BG111" i="20"/>
  <c r="BF111" i="20"/>
  <c r="BE111" i="20"/>
  <c r="BB111" i="20"/>
  <c r="AZ111" i="20"/>
  <c r="AY111" i="20"/>
  <c r="AG111" i="20"/>
  <c r="AH111" i="20" s="1"/>
  <c r="AA108" i="20"/>
  <c r="BC111" i="20" s="1"/>
  <c r="Z108" i="20"/>
  <c r="BA111" i="20" s="1"/>
  <c r="BG107" i="20"/>
  <c r="BF107" i="20"/>
  <c r="BE107" i="20"/>
  <c r="BB107" i="20"/>
  <c r="AZ107" i="20"/>
  <c r="AY107" i="20"/>
  <c r="AG107" i="20"/>
  <c r="AH107" i="20" s="1"/>
  <c r="AG106" i="20"/>
  <c r="AH106" i="20" s="1"/>
  <c r="AG105" i="20"/>
  <c r="AH105" i="20" s="1"/>
  <c r="AG104" i="20"/>
  <c r="AH104" i="20" s="1"/>
  <c r="AA104" i="20"/>
  <c r="Z104" i="20"/>
  <c r="BG103" i="20"/>
  <c r="BF103" i="20"/>
  <c r="BE103" i="20"/>
  <c r="BB103" i="20"/>
  <c r="AZ103" i="20"/>
  <c r="AY103" i="20"/>
  <c r="AG102" i="20"/>
  <c r="AH102" i="20" s="1"/>
  <c r="AG101" i="20"/>
  <c r="AH101" i="20" s="1"/>
  <c r="Z101" i="20"/>
  <c r="AB101" i="20" s="1"/>
  <c r="BG100" i="20"/>
  <c r="BF100" i="20"/>
  <c r="BE100" i="20"/>
  <c r="BB100" i="20"/>
  <c r="AZ100" i="20"/>
  <c r="AY100" i="20"/>
  <c r="AG99" i="20"/>
  <c r="AH99" i="20" s="1"/>
  <c r="AG98" i="20"/>
  <c r="AH98" i="20" s="1"/>
  <c r="Z98" i="20"/>
  <c r="BG97" i="20"/>
  <c r="BF97" i="20"/>
  <c r="BE97" i="20"/>
  <c r="BC97" i="20"/>
  <c r="BB97" i="20"/>
  <c r="AZ97" i="20"/>
  <c r="T97" i="20"/>
  <c r="U97" i="20" s="1"/>
  <c r="AG96" i="20"/>
  <c r="AH96" i="20" s="1"/>
  <c r="AG95" i="20"/>
  <c r="AH95" i="20" s="1"/>
  <c r="Z95" i="20"/>
  <c r="BA91" i="20" s="1"/>
  <c r="BG94" i="20"/>
  <c r="BF94" i="20"/>
  <c r="BE94" i="20"/>
  <c r="BC94" i="20"/>
  <c r="BB94" i="20"/>
  <c r="AY94" i="20"/>
  <c r="AG93" i="20"/>
  <c r="AH93" i="20" s="1"/>
  <c r="AB93" i="20"/>
  <c r="AG92" i="20"/>
  <c r="AH92" i="20" s="1"/>
  <c r="AB92" i="20"/>
  <c r="BG91" i="20"/>
  <c r="BF91" i="20"/>
  <c r="BE91" i="20"/>
  <c r="BC91" i="20"/>
  <c r="BB91" i="20"/>
  <c r="AZ90" i="20"/>
  <c r="AY90" i="20"/>
  <c r="AZ86" i="20"/>
  <c r="AY86" i="20"/>
  <c r="G86" i="20"/>
  <c r="I86" i="20" s="1"/>
  <c r="AZ85" i="20"/>
  <c r="BH84" i="20"/>
  <c r="BG84" i="20"/>
  <c r="BF84" i="20"/>
  <c r="BC84" i="20"/>
  <c r="BA84" i="20"/>
  <c r="AZ84" i="20"/>
  <c r="AY84" i="20"/>
  <c r="K82" i="20"/>
  <c r="M82" i="20" s="1"/>
  <c r="G78" i="20"/>
  <c r="K78" i="20" s="1"/>
  <c r="K69" i="20"/>
  <c r="L69" i="20" s="1"/>
  <c r="F66" i="20"/>
  <c r="F67" i="20" s="1"/>
  <c r="C66" i="20"/>
  <c r="C63" i="20"/>
  <c r="D62" i="20"/>
  <c r="C56" i="20"/>
  <c r="F55" i="20"/>
  <c r="C54" i="20"/>
  <c r="D53" i="20"/>
  <c r="G51" i="20"/>
  <c r="K51" i="20" s="1"/>
  <c r="M51" i="20" s="1"/>
  <c r="C47" i="20"/>
  <c r="D42" i="20"/>
  <c r="W40" i="20"/>
  <c r="F38" i="20"/>
  <c r="F39" i="20" s="1"/>
  <c r="C38" i="20"/>
  <c r="D37" i="20"/>
  <c r="K36" i="20"/>
  <c r="M36" i="20" s="1"/>
  <c r="C33" i="20"/>
  <c r="D32" i="20"/>
  <c r="F29" i="20"/>
  <c r="C29" i="20"/>
  <c r="T28" i="20"/>
  <c r="D28" i="20"/>
  <c r="F24" i="20"/>
  <c r="F25" i="20" s="1"/>
  <c r="C24" i="20"/>
  <c r="F23" i="20"/>
  <c r="G23" i="20" s="1"/>
  <c r="F22" i="20"/>
  <c r="C22" i="20"/>
  <c r="F21" i="20"/>
  <c r="C21" i="20"/>
  <c r="C20" i="20"/>
  <c r="G20" i="20" s="1"/>
  <c r="D19" i="20"/>
  <c r="C16" i="20"/>
  <c r="G17" i="20" s="1"/>
  <c r="K17" i="20" s="1"/>
  <c r="D15" i="20"/>
  <c r="G14" i="20"/>
  <c r="K14" i="20" s="1"/>
  <c r="M14" i="20" s="1"/>
  <c r="G12" i="20"/>
  <c r="K12" i="20" s="1"/>
  <c r="E12" i="20"/>
  <c r="G10" i="20"/>
  <c r="E10" i="20"/>
  <c r="D9" i="20"/>
  <c r="C9" i="20"/>
  <c r="G8" i="20"/>
  <c r="G6" i="20"/>
  <c r="K6" i="20" s="1"/>
  <c r="E6" i="20"/>
  <c r="G4" i="20"/>
  <c r="K4" i="20" s="1"/>
  <c r="L4" i="20" s="1"/>
  <c r="E4" i="20"/>
  <c r="BB84" i="20" s="1"/>
  <c r="D3" i="20"/>
  <c r="C3" i="20"/>
  <c r="J5" i="15"/>
  <c r="Z5" i="15"/>
  <c r="Z126" i="15"/>
  <c r="AC125" i="15"/>
  <c r="AC104" i="15" s="1"/>
  <c r="Z125" i="15"/>
  <c r="Z104" i="15"/>
  <c r="Z117" i="15"/>
  <c r="AC116" i="15"/>
  <c r="Z116" i="15"/>
  <c r="Z4" i="15"/>
  <c r="Z3" i="15"/>
  <c r="Z32" i="15"/>
  <c r="Z2" i="15"/>
  <c r="C73" i="20" l="1"/>
  <c r="G73" i="20" s="1"/>
  <c r="K73" i="20" s="1"/>
  <c r="C74" i="20"/>
  <c r="AB91" i="20"/>
  <c r="L6" i="20"/>
  <c r="M6" i="20"/>
  <c r="L12" i="20"/>
  <c r="M12" i="20"/>
  <c r="L17" i="20"/>
  <c r="M17" i="20"/>
  <c r="O120" i="20"/>
  <c r="S120" i="20" s="1"/>
  <c r="G57" i="20"/>
  <c r="K57" i="20" s="1"/>
  <c r="O121" i="20"/>
  <c r="G67" i="20"/>
  <c r="K67" i="20" s="1"/>
  <c r="G55" i="20"/>
  <c r="K55" i="20" s="1"/>
  <c r="F33" i="20"/>
  <c r="F34" i="20" s="1"/>
  <c r="G34" i="20" s="1"/>
  <c r="K34" i="20" s="1"/>
  <c r="F30" i="20"/>
  <c r="G30" i="20" s="1"/>
  <c r="K30" i="20" s="1"/>
  <c r="C32" i="20"/>
  <c r="G31" i="20"/>
  <c r="K31" i="20" s="1"/>
  <c r="L31" i="20" s="1"/>
  <c r="G25" i="20"/>
  <c r="K25" i="20" s="1"/>
  <c r="G40" i="20"/>
  <c r="K40" i="20" s="1"/>
  <c r="G39" i="20"/>
  <c r="K39" i="20" s="1"/>
  <c r="G47" i="20"/>
  <c r="K47" i="20" s="1"/>
  <c r="G48" i="20"/>
  <c r="K48" i="20" s="1"/>
  <c r="G49" i="20"/>
  <c r="G56" i="20"/>
  <c r="K56" i="20" s="1"/>
  <c r="G66" i="20"/>
  <c r="K66" i="20" s="1"/>
  <c r="L133" i="20"/>
  <c r="M73" i="20"/>
  <c r="L73" i="20"/>
  <c r="G16" i="20"/>
  <c r="K16" i="20" s="1"/>
  <c r="L16" i="20" s="1"/>
  <c r="C152" i="22"/>
  <c r="E152" i="22" s="1"/>
  <c r="G24" i="20"/>
  <c r="K24" i="20" s="1"/>
  <c r="L24" i="20" s="1"/>
  <c r="C62" i="20"/>
  <c r="G65" i="20" s="1"/>
  <c r="K65" i="20" s="1"/>
  <c r="E35" i="22"/>
  <c r="C162" i="22"/>
  <c r="G9" i="20"/>
  <c r="K9" i="20" s="1"/>
  <c r="AB112" i="20"/>
  <c r="BD103" i="20" s="1"/>
  <c r="G21" i="20"/>
  <c r="K21" i="20" s="1"/>
  <c r="L21" i="20" s="1"/>
  <c r="G74" i="20"/>
  <c r="K74" i="20" s="1"/>
  <c r="BD84" i="20"/>
  <c r="G75" i="20"/>
  <c r="K75" i="20" s="1"/>
  <c r="AB109" i="20"/>
  <c r="BH111" i="20" s="1"/>
  <c r="C37" i="20"/>
  <c r="G18" i="20"/>
  <c r="K18" i="20" s="1"/>
  <c r="BA103" i="20"/>
  <c r="AB113" i="20"/>
  <c r="BH103" i="20" s="1"/>
  <c r="BA97" i="20"/>
  <c r="M4" i="20"/>
  <c r="C15" i="20"/>
  <c r="AB102" i="20"/>
  <c r="AB100" i="20" s="1"/>
  <c r="AB108" i="20"/>
  <c r="BD111" i="20" s="1"/>
  <c r="L51" i="20"/>
  <c r="G35" i="20"/>
  <c r="K35" i="20" s="1"/>
  <c r="M35" i="20" s="1"/>
  <c r="L14" i="20"/>
  <c r="L36" i="20"/>
  <c r="G54" i="20"/>
  <c r="K54" i="20" s="1"/>
  <c r="K20" i="20"/>
  <c r="BH107" i="20"/>
  <c r="K8" i="20"/>
  <c r="G3" i="20"/>
  <c r="K23" i="20"/>
  <c r="C42" i="20"/>
  <c r="T94" i="20" s="1"/>
  <c r="U94" i="20" s="1"/>
  <c r="K10" i="20"/>
  <c r="L78" i="20"/>
  <c r="M78" i="20"/>
  <c r="G26" i="20"/>
  <c r="K26" i="20" s="1"/>
  <c r="C19" i="20"/>
  <c r="AB98" i="20"/>
  <c r="BA94" i="20"/>
  <c r="AB99" i="20"/>
  <c r="AB105" i="20"/>
  <c r="BA100" i="20"/>
  <c r="BA107" i="20"/>
  <c r="G27" i="20"/>
  <c r="C28" i="20"/>
  <c r="G29" i="20"/>
  <c r="F43" i="20"/>
  <c r="F44" i="20" s="1"/>
  <c r="G44" i="20" s="1"/>
  <c r="K44" i="20" s="1"/>
  <c r="AB115" i="20"/>
  <c r="G22" i="20"/>
  <c r="G38" i="20"/>
  <c r="F45" i="20"/>
  <c r="C58" i="20"/>
  <c r="G60" i="20"/>
  <c r="K60" i="20" s="1"/>
  <c r="L82" i="20"/>
  <c r="K86" i="20"/>
  <c r="F108" i="20"/>
  <c r="G108" i="20" s="1"/>
  <c r="G110" i="20" s="1"/>
  <c r="BC100" i="20"/>
  <c r="AB104" i="20"/>
  <c r="AB95" i="20"/>
  <c r="AB96" i="20"/>
  <c r="M69" i="20"/>
  <c r="BD97" i="20"/>
  <c r="Z1" i="15"/>
  <c r="M31" i="20" l="1"/>
  <c r="L65" i="20"/>
  <c r="M65" i="20"/>
  <c r="M48" i="20"/>
  <c r="L48" i="20"/>
  <c r="M66" i="20"/>
  <c r="L66" i="20"/>
  <c r="L47" i="20"/>
  <c r="M47" i="20"/>
  <c r="M30" i="20"/>
  <c r="L30" i="20"/>
  <c r="M44" i="20"/>
  <c r="L44" i="20"/>
  <c r="M34" i="20"/>
  <c r="L34" i="20"/>
  <c r="G33" i="20"/>
  <c r="K33" i="20" s="1"/>
  <c r="M33" i="20" s="1"/>
  <c r="L39" i="20"/>
  <c r="M39" i="20"/>
  <c r="L67" i="20"/>
  <c r="M67" i="20"/>
  <c r="L26" i="20"/>
  <c r="M26" i="20"/>
  <c r="M25" i="20"/>
  <c r="L25" i="20"/>
  <c r="L55" i="20"/>
  <c r="M55" i="20"/>
  <c r="G59" i="20"/>
  <c r="K59" i="20" s="1"/>
  <c r="O122" i="20"/>
  <c r="S122" i="20" s="1"/>
  <c r="M57" i="20"/>
  <c r="L57" i="20"/>
  <c r="M60" i="20"/>
  <c r="L60" i="20"/>
  <c r="L56" i="20"/>
  <c r="M56" i="20"/>
  <c r="G77" i="20"/>
  <c r="K77" i="20" s="1"/>
  <c r="M77" i="20" s="1"/>
  <c r="G45" i="20"/>
  <c r="K45" i="20" s="1"/>
  <c r="F46" i="20"/>
  <c r="G46" i="20" s="1"/>
  <c r="K46" i="20" s="1"/>
  <c r="M16" i="20"/>
  <c r="M24" i="20"/>
  <c r="L75" i="20"/>
  <c r="M75" i="20"/>
  <c r="M74" i="20"/>
  <c r="L74" i="20"/>
  <c r="C84" i="20"/>
  <c r="C93" i="20" s="1"/>
  <c r="M21" i="20"/>
  <c r="AB111" i="20"/>
  <c r="G15" i="20"/>
  <c r="K15" i="20" s="1"/>
  <c r="L35" i="20"/>
  <c r="BH97" i="20"/>
  <c r="AB107" i="20"/>
  <c r="BH100" i="20"/>
  <c r="M9" i="20"/>
  <c r="L9" i="20"/>
  <c r="L18" i="20"/>
  <c r="M18" i="20"/>
  <c r="BH91" i="20"/>
  <c r="G37" i="20"/>
  <c r="K38" i="20"/>
  <c r="BH94" i="20"/>
  <c r="K49" i="20"/>
  <c r="K22" i="20"/>
  <c r="K3" i="20"/>
  <c r="AB114" i="20"/>
  <c r="BD107" i="20"/>
  <c r="BD94" i="20"/>
  <c r="AB97" i="20"/>
  <c r="F63" i="20"/>
  <c r="G43" i="20"/>
  <c r="M8" i="20"/>
  <c r="L8" i="20"/>
  <c r="L20" i="20"/>
  <c r="M20" i="20"/>
  <c r="AB103" i="20"/>
  <c r="BD100" i="20"/>
  <c r="L54" i="20"/>
  <c r="M54" i="20"/>
  <c r="K29" i="20"/>
  <c r="G28" i="20"/>
  <c r="L40" i="20"/>
  <c r="M40" i="20"/>
  <c r="M23" i="20"/>
  <c r="L23" i="20"/>
  <c r="G19" i="20"/>
  <c r="AB94" i="20"/>
  <c r="BD91" i="20"/>
  <c r="M10" i="20"/>
  <c r="L10" i="20"/>
  <c r="G58" i="20"/>
  <c r="K58" i="20" s="1"/>
  <c r="C53" i="20"/>
  <c r="T91" i="20" s="1"/>
  <c r="K27" i="20"/>
  <c r="M46" i="20" l="1"/>
  <c r="L46" i="20"/>
  <c r="L45" i="20"/>
  <c r="M45" i="20"/>
  <c r="L33" i="20"/>
  <c r="G32" i="20"/>
  <c r="K32" i="20" s="1"/>
  <c r="L32" i="20" s="1"/>
  <c r="L58" i="20"/>
  <c r="M58" i="20"/>
  <c r="L59" i="20"/>
  <c r="M59" i="20"/>
  <c r="L77" i="20"/>
  <c r="G63" i="20"/>
  <c r="K63" i="20" s="1"/>
  <c r="F64" i="20"/>
  <c r="G64" i="20" s="1"/>
  <c r="E84" i="20"/>
  <c r="L27" i="20"/>
  <c r="M27" i="20"/>
  <c r="L15" i="20"/>
  <c r="M15" i="20"/>
  <c r="M32" i="20"/>
  <c r="T103" i="20"/>
  <c r="U91" i="20"/>
  <c r="K28" i="20"/>
  <c r="M3" i="20"/>
  <c r="L3" i="20"/>
  <c r="G53" i="20"/>
  <c r="L38" i="20"/>
  <c r="M38" i="20"/>
  <c r="M29" i="20"/>
  <c r="L29" i="20"/>
  <c r="K43" i="20"/>
  <c r="K37" i="20"/>
  <c r="K19" i="20"/>
  <c r="M22" i="20"/>
  <c r="L22" i="20"/>
  <c r="C99" i="20"/>
  <c r="C100" i="20" s="1"/>
  <c r="C102" i="20" s="1"/>
  <c r="C104" i="20" s="1"/>
  <c r="T100" i="20"/>
  <c r="U100" i="20" s="1"/>
  <c r="L49" i="20"/>
  <c r="M49" i="20"/>
  <c r="G88" i="20" l="1"/>
  <c r="K64" i="20"/>
  <c r="G111" i="20"/>
  <c r="G62" i="20"/>
  <c r="K62" i="20" s="1"/>
  <c r="U103" i="20"/>
  <c r="V91" i="20" s="1"/>
  <c r="V103" i="20" s="1"/>
  <c r="M63" i="20"/>
  <c r="L63" i="20"/>
  <c r="M37" i="20"/>
  <c r="L37" i="20"/>
  <c r="M43" i="20"/>
  <c r="L43" i="20"/>
  <c r="M19" i="20"/>
  <c r="L19" i="20"/>
  <c r="K53" i="20"/>
  <c r="M28" i="20"/>
  <c r="L28" i="20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12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10" i="12"/>
  <c r="AH9" i="12"/>
  <c r="M64" i="20" l="1"/>
  <c r="L64" i="20"/>
  <c r="V100" i="20"/>
  <c r="S35" i="20"/>
  <c r="M62" i="20"/>
  <c r="S49" i="20" s="1"/>
  <c r="S50" i="20" s="1"/>
  <c r="T50" i="20" s="1"/>
  <c r="U50" i="20" s="1"/>
  <c r="L62" i="20"/>
  <c r="P6" i="20" s="1"/>
  <c r="P3" i="20"/>
  <c r="M53" i="20"/>
  <c r="L53" i="20"/>
  <c r="P5" i="20" s="1"/>
  <c r="V97" i="20"/>
  <c r="V94" i="20"/>
  <c r="U48" i="12"/>
  <c r="U41" i="12"/>
  <c r="T48" i="12"/>
  <c r="T53" i="12" s="1"/>
  <c r="T41" i="12"/>
  <c r="T42" i="12" s="1"/>
  <c r="Q6" i="20" l="1"/>
  <c r="S6" i="20" s="1"/>
  <c r="Q5" i="20"/>
  <c r="S5" i="20" s="1"/>
  <c r="Q3" i="20"/>
  <c r="U59" i="12"/>
  <c r="B58" i="12"/>
  <c r="B52" i="12"/>
  <c r="B47" i="12"/>
  <c r="B42" i="12"/>
  <c r="G12" i="12"/>
  <c r="G13" i="12"/>
  <c r="S3" i="20" l="1"/>
  <c r="N5" i="15" l="1"/>
  <c r="N3" i="15"/>
  <c r="N2" i="15"/>
  <c r="J9" i="15"/>
  <c r="J6" i="15"/>
  <c r="J7" i="15"/>
  <c r="J4" i="15"/>
  <c r="N14" i="15"/>
  <c r="N15" i="15"/>
  <c r="N16" i="15"/>
  <c r="J17" i="15"/>
  <c r="J18" i="15"/>
  <c r="J19" i="15"/>
  <c r="J20" i="15"/>
  <c r="J21" i="15"/>
  <c r="J22" i="15"/>
  <c r="J23" i="15"/>
  <c r="N13" i="15"/>
  <c r="L17" i="15"/>
  <c r="L18" i="15"/>
  <c r="L19" i="15"/>
  <c r="L20" i="15"/>
  <c r="L21" i="15"/>
  <c r="L22" i="15"/>
  <c r="L23" i="15"/>
  <c r="F8" i="12"/>
  <c r="E22" i="11"/>
  <c r="B13" i="12" l="1"/>
  <c r="C13" i="12" s="1"/>
  <c r="J13" i="12" s="1"/>
  <c r="B12" i="12"/>
  <c r="C12" i="12" s="1"/>
  <c r="H12" i="12" l="1"/>
  <c r="J12" i="12"/>
  <c r="H13" i="12"/>
  <c r="K13" i="12" s="1"/>
  <c r="D13" i="12"/>
  <c r="K12" i="12" l="1"/>
  <c r="I4" i="12"/>
  <c r="H5" i="12"/>
  <c r="H4" i="12"/>
  <c r="H6" i="12" l="1"/>
  <c r="K4" i="12"/>
  <c r="N4" i="12" s="1"/>
  <c r="F6" i="12" l="1"/>
  <c r="C6" i="12"/>
  <c r="A6" i="12"/>
  <c r="F6" i="15" l="1"/>
  <c r="F7" i="15"/>
  <c r="F10" i="15"/>
  <c r="F11" i="15"/>
  <c r="F15" i="15"/>
  <c r="F126" i="15"/>
  <c r="I125" i="15" s="1"/>
  <c r="F125" i="15"/>
  <c r="F123" i="15"/>
  <c r="I123" i="15" s="1"/>
  <c r="I121" i="15" s="1"/>
  <c r="F122" i="15"/>
  <c r="F121" i="15"/>
  <c r="F119" i="15"/>
  <c r="F117" i="15"/>
  <c r="I116" i="15"/>
  <c r="F116" i="15"/>
  <c r="F114" i="15"/>
  <c r="I114" i="15" s="1"/>
  <c r="I113" i="15" s="1"/>
  <c r="F113" i="15"/>
  <c r="F111" i="15"/>
  <c r="I111" i="15" s="1"/>
  <c r="I110" i="15" s="1"/>
  <c r="F110" i="15"/>
  <c r="F108" i="15"/>
  <c r="F107" i="15"/>
  <c r="F106" i="15"/>
  <c r="I106" i="15" s="1"/>
  <c r="I104" i="15" s="1"/>
  <c r="F105" i="15"/>
  <c r="F104" i="15"/>
  <c r="F102" i="15"/>
  <c r="F101" i="15"/>
  <c r="I101" i="15" s="1"/>
  <c r="F100" i="15"/>
  <c r="F99" i="15"/>
  <c r="F98" i="15"/>
  <c r="I98" i="15" s="1"/>
  <c r="F97" i="15"/>
  <c r="F96" i="15"/>
  <c r="I96" i="15" s="1"/>
  <c r="F95" i="15"/>
  <c r="F94" i="15"/>
  <c r="I94" i="15" s="1"/>
  <c r="F93" i="15"/>
  <c r="F92" i="15"/>
  <c r="I92" i="15" s="1"/>
  <c r="F91" i="15"/>
  <c r="F90" i="15"/>
  <c r="I90" i="15" s="1"/>
  <c r="F89" i="15"/>
  <c r="F88" i="15"/>
  <c r="I88" i="15" s="1"/>
  <c r="F87" i="15"/>
  <c r="F86" i="15"/>
  <c r="I86" i="15" s="1"/>
  <c r="F85" i="15"/>
  <c r="F84" i="15"/>
  <c r="F83" i="15"/>
  <c r="I83" i="15" s="1"/>
  <c r="F82" i="15"/>
  <c r="I82" i="15" s="1"/>
  <c r="F81" i="15"/>
  <c r="F80" i="15"/>
  <c r="I80" i="15" s="1"/>
  <c r="F79" i="15"/>
  <c r="I79" i="15" s="1"/>
  <c r="F78" i="15"/>
  <c r="F77" i="15"/>
  <c r="I77" i="15" s="1"/>
  <c r="F76" i="15"/>
  <c r="I76" i="15" s="1"/>
  <c r="F75" i="15"/>
  <c r="I75" i="15" s="1"/>
  <c r="F74" i="15"/>
  <c r="I74" i="15" s="1"/>
  <c r="F73" i="15"/>
  <c r="I73" i="15" s="1"/>
  <c r="F72" i="15"/>
  <c r="I72" i="15" s="1"/>
  <c r="F71" i="15"/>
  <c r="I71" i="15" s="1"/>
  <c r="F70" i="15"/>
  <c r="F69" i="15"/>
  <c r="F68" i="15"/>
  <c r="F67" i="15"/>
  <c r="F66" i="15"/>
  <c r="F65" i="15"/>
  <c r="I65" i="15" s="1"/>
  <c r="F64" i="15"/>
  <c r="I64" i="15" s="1"/>
  <c r="F63" i="15"/>
  <c r="F62" i="15"/>
  <c r="F61" i="15"/>
  <c r="I61" i="15" s="1"/>
  <c r="F60" i="15"/>
  <c r="I60" i="15" s="1"/>
  <c r="F59" i="15"/>
  <c r="I59" i="15" s="1"/>
  <c r="F58" i="15"/>
  <c r="I58" i="15" s="1"/>
  <c r="F57" i="15"/>
  <c r="I57" i="15" s="1"/>
  <c r="F56" i="15"/>
  <c r="F55" i="15"/>
  <c r="F54" i="15"/>
  <c r="I54" i="15" s="1"/>
  <c r="F53" i="15"/>
  <c r="I53" i="15" s="1"/>
  <c r="F52" i="15"/>
  <c r="F51" i="15"/>
  <c r="F50" i="15"/>
  <c r="F49" i="15"/>
  <c r="I49" i="15" s="1"/>
  <c r="F48" i="15"/>
  <c r="F47" i="15"/>
  <c r="I47" i="15" s="1"/>
  <c r="F46" i="15"/>
  <c r="I46" i="15" s="1"/>
  <c r="F45" i="15"/>
  <c r="I45" i="15" s="1"/>
  <c r="F44" i="15"/>
  <c r="F43" i="15"/>
  <c r="I43" i="15" s="1"/>
  <c r="F42" i="15"/>
  <c r="F41" i="15"/>
  <c r="F40" i="15"/>
  <c r="I40" i="15" s="1"/>
  <c r="F39" i="15"/>
  <c r="I39" i="15" s="1"/>
  <c r="F38" i="15"/>
  <c r="I38" i="15" s="1"/>
  <c r="F37" i="15"/>
  <c r="I37" i="15" s="1"/>
  <c r="F36" i="15"/>
  <c r="F35" i="15"/>
  <c r="I35" i="15" s="1"/>
  <c r="I34" i="15" s="1"/>
  <c r="F34" i="15"/>
  <c r="F33" i="15"/>
  <c r="F32" i="15"/>
  <c r="F31" i="15"/>
  <c r="I31" i="15" s="1"/>
  <c r="F30" i="15"/>
  <c r="F29" i="15"/>
  <c r="I29" i="15" s="1"/>
  <c r="F28" i="15"/>
  <c r="I28" i="15" s="1"/>
  <c r="F27" i="15"/>
  <c r="F26" i="15"/>
  <c r="F25" i="15"/>
  <c r="F24" i="15"/>
  <c r="F23" i="15"/>
  <c r="I23" i="15" s="1"/>
  <c r="F22" i="15"/>
  <c r="I22" i="15" s="1"/>
  <c r="F21" i="15"/>
  <c r="F20" i="15"/>
  <c r="I20" i="15" s="1"/>
  <c r="F19" i="15"/>
  <c r="I19" i="15" s="1"/>
  <c r="F18" i="15"/>
  <c r="F17" i="15"/>
  <c r="F16" i="15"/>
  <c r="I16" i="15" s="1"/>
  <c r="F14" i="15"/>
  <c r="I14" i="15" s="1"/>
  <c r="F13" i="15"/>
  <c r="I13" i="15" s="1"/>
  <c r="F12" i="15"/>
  <c r="F9" i="15"/>
  <c r="I9" i="15" s="1"/>
  <c r="F8" i="15"/>
  <c r="F5" i="15"/>
  <c r="I5" i="15" s="1"/>
  <c r="F4" i="15"/>
  <c r="I4" i="15" s="1"/>
  <c r="F3" i="15"/>
  <c r="F2" i="15"/>
  <c r="I18" i="15" l="1"/>
  <c r="I78" i="15"/>
  <c r="I36" i="15"/>
  <c r="I62" i="15"/>
  <c r="I44" i="15"/>
  <c r="I93" i="15"/>
  <c r="I81" i="15"/>
  <c r="I97" i="15"/>
  <c r="I66" i="15"/>
  <c r="I87" i="15"/>
  <c r="I42" i="15"/>
  <c r="I41" i="15" s="1"/>
  <c r="I24" i="15"/>
  <c r="I12" i="15"/>
  <c r="I8" i="15"/>
  <c r="K8" i="15" s="1"/>
  <c r="I3" i="15"/>
  <c r="I119" i="15"/>
  <c r="I48" i="15"/>
  <c r="F1" i="15"/>
  <c r="I102" i="15"/>
  <c r="AC4" i="15" s="1"/>
  <c r="AC5" i="15" l="1"/>
  <c r="S27" i="20"/>
  <c r="L5" i="15"/>
  <c r="O5" i="15" s="1"/>
  <c r="I33" i="15"/>
  <c r="AC3" i="15" s="1"/>
  <c r="I2" i="15"/>
  <c r="AC2" i="15" s="1"/>
  <c r="Z6" i="12"/>
  <c r="AA6" i="12" s="1"/>
  <c r="AL1" i="11"/>
  <c r="AM1" i="11"/>
  <c r="AO1" i="11"/>
  <c r="AL2" i="11"/>
  <c r="AR1" i="11"/>
  <c r="AS1" i="11"/>
  <c r="AL3" i="11"/>
  <c r="AN6" i="11"/>
  <c r="AO6" i="11"/>
  <c r="AQ6" i="11"/>
  <c r="AR6" i="11"/>
  <c r="AS6" i="11"/>
  <c r="AL5" i="11"/>
  <c r="AN7" i="11"/>
  <c r="AO7" i="11"/>
  <c r="AQ7" i="11"/>
  <c r="AR7" i="11"/>
  <c r="AS7" i="11"/>
  <c r="AL8" i="11"/>
  <c r="AN8" i="11"/>
  <c r="AO8" i="11"/>
  <c r="AQ8" i="11"/>
  <c r="AR8" i="11"/>
  <c r="AS8" i="11"/>
  <c r="AL9" i="11"/>
  <c r="AN9" i="11"/>
  <c r="AO9" i="11"/>
  <c r="AQ9" i="11"/>
  <c r="AR9" i="11"/>
  <c r="AS9" i="11"/>
  <c r="AL10" i="11"/>
  <c r="AN10" i="11"/>
  <c r="AO10" i="11"/>
  <c r="AQ10" i="11"/>
  <c r="AR10" i="11"/>
  <c r="AS10" i="11"/>
  <c r="AL11" i="11"/>
  <c r="AN11" i="11"/>
  <c r="AO11" i="11"/>
  <c r="AQ11" i="11"/>
  <c r="AR11" i="11"/>
  <c r="AS11" i="11"/>
  <c r="AL12" i="11"/>
  <c r="AN12" i="11"/>
  <c r="AO12" i="11"/>
  <c r="AQ12" i="11"/>
  <c r="AR12" i="11"/>
  <c r="AS12" i="11"/>
  <c r="AL13" i="11"/>
  <c r="AO13" i="11"/>
  <c r="AQ13" i="11"/>
  <c r="AR13" i="11"/>
  <c r="AS13" i="11"/>
  <c r="AK3" i="11"/>
  <c r="AK5" i="11"/>
  <c r="AK7" i="11"/>
  <c r="AK9" i="11"/>
  <c r="AK10" i="11"/>
  <c r="AK11" i="11"/>
  <c r="AK12" i="11"/>
  <c r="AK13" i="11"/>
  <c r="AK1" i="11"/>
  <c r="I1" i="15" l="1"/>
  <c r="AC1" i="15" s="1"/>
  <c r="AA7" i="12"/>
  <c r="AA8" i="12" s="1"/>
  <c r="F5" i="12" s="1"/>
  <c r="C58" i="12"/>
  <c r="U26" i="12"/>
  <c r="U20" i="12"/>
  <c r="U16" i="12"/>
  <c r="U14" i="12"/>
  <c r="G27" i="12"/>
  <c r="G28" i="12"/>
  <c r="G29" i="12"/>
  <c r="G30" i="12"/>
  <c r="G31" i="12"/>
  <c r="G32" i="12"/>
  <c r="G33" i="12"/>
  <c r="G34" i="12"/>
  <c r="G35" i="12"/>
  <c r="G25" i="12"/>
  <c r="G21" i="12"/>
  <c r="G22" i="12"/>
  <c r="G23" i="12"/>
  <c r="G14" i="12"/>
  <c r="G15" i="12"/>
  <c r="G16" i="12"/>
  <c r="G17" i="12"/>
  <c r="G18" i="12"/>
  <c r="G19" i="12"/>
  <c r="C51" i="12"/>
  <c r="D51" i="12" s="1"/>
  <c r="C52" i="12"/>
  <c r="C53" i="12"/>
  <c r="D53" i="12" s="1"/>
  <c r="C54" i="12"/>
  <c r="D54" i="12" s="1"/>
  <c r="C55" i="12"/>
  <c r="D55" i="12" s="1"/>
  <c r="C56" i="12"/>
  <c r="D56" i="12" s="1"/>
  <c r="C57" i="12"/>
  <c r="I24" i="12" s="1"/>
  <c r="C44" i="12"/>
  <c r="D44" i="12" s="1"/>
  <c r="C45" i="12"/>
  <c r="D45" i="12" s="1"/>
  <c r="C46" i="12"/>
  <c r="D46" i="12" s="1"/>
  <c r="C47" i="12"/>
  <c r="D47" i="12" s="1"/>
  <c r="C48" i="12"/>
  <c r="D48" i="12" s="1"/>
  <c r="C49" i="12"/>
  <c r="D49" i="12" s="1"/>
  <c r="C50" i="12"/>
  <c r="D50" i="12" s="1"/>
  <c r="C43" i="12"/>
  <c r="D43" i="12" s="1"/>
  <c r="C42" i="12"/>
  <c r="I14" i="12" s="1"/>
  <c r="G36" i="12"/>
  <c r="G26" i="12"/>
  <c r="G24" i="12"/>
  <c r="G20" i="12"/>
  <c r="B15" i="12"/>
  <c r="C15" i="12" s="1"/>
  <c r="B16" i="12"/>
  <c r="C16" i="12" s="1"/>
  <c r="B17" i="12"/>
  <c r="C17" i="12" s="1"/>
  <c r="B18" i="12"/>
  <c r="C18" i="12" s="1"/>
  <c r="B19" i="12"/>
  <c r="C19" i="12" s="1"/>
  <c r="B20" i="12"/>
  <c r="C20" i="12" s="1"/>
  <c r="B21" i="12"/>
  <c r="C21" i="12" s="1"/>
  <c r="B22" i="12"/>
  <c r="C22" i="12" s="1"/>
  <c r="B23" i="12"/>
  <c r="C23" i="12" s="1"/>
  <c r="B24" i="12"/>
  <c r="C24" i="12" s="1"/>
  <c r="B25" i="12"/>
  <c r="C25" i="12" s="1"/>
  <c r="B26" i="12"/>
  <c r="C26" i="12" s="1"/>
  <c r="B27" i="12"/>
  <c r="C27" i="12" s="1"/>
  <c r="B28" i="12"/>
  <c r="C28" i="12" s="1"/>
  <c r="B29" i="12"/>
  <c r="C29" i="12" s="1"/>
  <c r="B30" i="12"/>
  <c r="C30" i="12" s="1"/>
  <c r="B31" i="12"/>
  <c r="C31" i="12" s="1"/>
  <c r="B32" i="12"/>
  <c r="C32" i="12" s="1"/>
  <c r="B33" i="12"/>
  <c r="C33" i="12" s="1"/>
  <c r="B34" i="12"/>
  <c r="C34" i="12" s="1"/>
  <c r="Q117" i="20" s="1"/>
  <c r="S117" i="20" s="1"/>
  <c r="B35" i="12"/>
  <c r="C35" i="12" s="1"/>
  <c r="B36" i="12"/>
  <c r="C36" i="12" s="1"/>
  <c r="Q119" i="20" s="1"/>
  <c r="S119" i="20" s="1"/>
  <c r="B14" i="12"/>
  <c r="C14" i="12" s="1"/>
  <c r="E91" i="6"/>
  <c r="F91" i="6" s="1"/>
  <c r="E75" i="6"/>
  <c r="F75" i="6" s="1"/>
  <c r="E81" i="6"/>
  <c r="F81" i="6" s="1"/>
  <c r="E80" i="6"/>
  <c r="F80" i="6" s="1"/>
  <c r="D52" i="12" l="1"/>
  <c r="D122" i="22"/>
  <c r="D113" i="22"/>
  <c r="D58" i="12"/>
  <c r="D140" i="22"/>
  <c r="D131" i="22"/>
  <c r="H23" i="12"/>
  <c r="D74" i="22" s="1"/>
  <c r="D71" i="22" s="1"/>
  <c r="E71" i="22" s="1"/>
  <c r="Q121" i="20"/>
  <c r="S121" i="20" s="1"/>
  <c r="S123" i="20" s="1"/>
  <c r="D21" i="12"/>
  <c r="J21" i="12"/>
  <c r="D20" i="12"/>
  <c r="J20" i="12"/>
  <c r="D19" i="12"/>
  <c r="J19" i="12"/>
  <c r="D34" i="12"/>
  <c r="J34" i="12"/>
  <c r="D17" i="12"/>
  <c r="J17" i="12"/>
  <c r="D30" i="12"/>
  <c r="J30" i="12"/>
  <c r="D22" i="12"/>
  <c r="J22" i="12"/>
  <c r="D29" i="12"/>
  <c r="J29" i="12"/>
  <c r="D36" i="12"/>
  <c r="J36" i="12"/>
  <c r="D27" i="12"/>
  <c r="J27" i="12"/>
  <c r="D18" i="12"/>
  <c r="J18" i="12"/>
  <c r="D33" i="12"/>
  <c r="J33" i="12"/>
  <c r="D32" i="12"/>
  <c r="J32" i="12"/>
  <c r="D24" i="12"/>
  <c r="J24" i="12"/>
  <c r="D16" i="12"/>
  <c r="J16" i="12"/>
  <c r="D14" i="12"/>
  <c r="J14" i="12"/>
  <c r="D28" i="12"/>
  <c r="J28" i="12"/>
  <c r="D35" i="12"/>
  <c r="J35" i="12"/>
  <c r="W26" i="12"/>
  <c r="X26" i="12" s="1"/>
  <c r="J26" i="12"/>
  <c r="D25" i="12"/>
  <c r="J25" i="12"/>
  <c r="D31" i="12"/>
  <c r="J31" i="12"/>
  <c r="D23" i="12"/>
  <c r="J23" i="12"/>
  <c r="D15" i="12"/>
  <c r="J15" i="12"/>
  <c r="G91" i="6"/>
  <c r="H91" i="6" s="1"/>
  <c r="H31" i="12"/>
  <c r="W16" i="12"/>
  <c r="X16" i="12" s="1"/>
  <c r="H22" i="12"/>
  <c r="H30" i="12"/>
  <c r="H33" i="12"/>
  <c r="H32" i="12"/>
  <c r="D42" i="12"/>
  <c r="H16" i="12"/>
  <c r="W14" i="12"/>
  <c r="X14" i="12" s="1"/>
  <c r="H14" i="12"/>
  <c r="H28" i="12"/>
  <c r="H36" i="12"/>
  <c r="H19" i="12"/>
  <c r="D57" i="12"/>
  <c r="I36" i="12"/>
  <c r="H18" i="12"/>
  <c r="H21" i="12"/>
  <c r="H29" i="12"/>
  <c r="W20" i="12"/>
  <c r="X20" i="12" s="1"/>
  <c r="H17" i="12"/>
  <c r="H35" i="12"/>
  <c r="H27" i="12"/>
  <c r="H25" i="12"/>
  <c r="H15" i="12"/>
  <c r="H34" i="12"/>
  <c r="I26" i="12"/>
  <c r="I16" i="12"/>
  <c r="I20" i="12"/>
  <c r="D26" i="12"/>
  <c r="H26" i="12"/>
  <c r="H20" i="12"/>
  <c r="H24" i="12"/>
  <c r="E86" i="6"/>
  <c r="E87" i="6" s="1"/>
  <c r="E85" i="6"/>
  <c r="H85" i="6" s="1"/>
  <c r="I85" i="6" s="1"/>
  <c r="J85" i="6" s="1"/>
  <c r="O48" i="11"/>
  <c r="O37" i="11"/>
  <c r="O38" i="11" s="1"/>
  <c r="O46" i="11" s="1"/>
  <c r="M47" i="11"/>
  <c r="M48" i="11" s="1"/>
  <c r="D36" i="23" l="1"/>
  <c r="D34" i="23" s="1"/>
  <c r="C37" i="23" s="1"/>
  <c r="D37" i="23" s="1"/>
  <c r="K35" i="12"/>
  <c r="I34" i="23"/>
  <c r="I32" i="23" s="1"/>
  <c r="H35" i="23" s="1"/>
  <c r="I35" i="23" s="1"/>
  <c r="D137" i="22"/>
  <c r="D134" i="22" s="1"/>
  <c r="E134" i="22" s="1"/>
  <c r="I19" i="23"/>
  <c r="I17" i="23" s="1"/>
  <c r="D110" i="22"/>
  <c r="D107" i="22" s="1"/>
  <c r="D41" i="23"/>
  <c r="I29" i="23"/>
  <c r="I27" i="23" s="1"/>
  <c r="H30" i="23" s="1"/>
  <c r="I30" i="23" s="1"/>
  <c r="D65" i="22"/>
  <c r="D62" i="22" s="1"/>
  <c r="E62" i="22" s="1"/>
  <c r="D128" i="22"/>
  <c r="D125" i="22" s="1"/>
  <c r="E125" i="22" s="1"/>
  <c r="I24" i="23"/>
  <c r="I22" i="23" s="1"/>
  <c r="H25" i="23" s="1"/>
  <c r="I25" i="23" s="1"/>
  <c r="D119" i="22"/>
  <c r="D116" i="22" s="1"/>
  <c r="E116" i="22" s="1"/>
  <c r="H117" i="22" s="1"/>
  <c r="G119" i="22" s="1"/>
  <c r="I9" i="23"/>
  <c r="I7" i="23" s="1"/>
  <c r="D92" i="22"/>
  <c r="D89" i="22" s="1"/>
  <c r="I4" i="23"/>
  <c r="I2" i="23" s="1"/>
  <c r="H5" i="23" s="1"/>
  <c r="D83" i="22"/>
  <c r="D80" i="22" s="1"/>
  <c r="E80" i="22" s="1"/>
  <c r="I14" i="23"/>
  <c r="I12" i="23" s="1"/>
  <c r="D101" i="22"/>
  <c r="D98" i="22" s="1"/>
  <c r="D56" i="22"/>
  <c r="D53" i="22" s="1"/>
  <c r="E53" i="22" s="1"/>
  <c r="D46" i="23"/>
  <c r="K34" i="12"/>
  <c r="K30" i="12"/>
  <c r="K18" i="12"/>
  <c r="K15" i="12"/>
  <c r="K25" i="12"/>
  <c r="K23" i="12"/>
  <c r="K19" i="12"/>
  <c r="K22" i="12"/>
  <c r="K29" i="12"/>
  <c r="K28" i="12"/>
  <c r="K21" i="12"/>
  <c r="K31" i="12"/>
  <c r="K14" i="12"/>
  <c r="K32" i="12"/>
  <c r="K33" i="12"/>
  <c r="K27" i="12"/>
  <c r="K17" i="12"/>
  <c r="O49" i="11"/>
  <c r="K26" i="12"/>
  <c r="K36" i="12"/>
  <c r="K16" i="12"/>
  <c r="K24" i="12"/>
  <c r="K20" i="12"/>
  <c r="P55" i="11"/>
  <c r="S56" i="11" s="1"/>
  <c r="P53" i="11"/>
  <c r="R53" i="11" s="1"/>
  <c r="S53" i="11" s="1"/>
  <c r="R52" i="11"/>
  <c r="S27" i="11"/>
  <c r="P49" i="11"/>
  <c r="R48" i="11"/>
  <c r="P37" i="11"/>
  <c r="P45" i="11"/>
  <c r="R45" i="11" s="1"/>
  <c r="S45" i="11" s="1"/>
  <c r="R44" i="11"/>
  <c r="P41" i="11"/>
  <c r="R40" i="11"/>
  <c r="R36" i="11"/>
  <c r="W6" i="11"/>
  <c r="AT1" i="11" s="1"/>
  <c r="P8" i="11"/>
  <c r="P9" i="11"/>
  <c r="P10" i="11"/>
  <c r="P11" i="11"/>
  <c r="P12" i="11"/>
  <c r="P13" i="11"/>
  <c r="W13" i="11" s="1"/>
  <c r="AT12" i="11" s="1"/>
  <c r="P7" i="11"/>
  <c r="Q6" i="11"/>
  <c r="AN1" i="11" s="1"/>
  <c r="S6" i="11"/>
  <c r="A19" i="11"/>
  <c r="A20" i="11"/>
  <c r="A15" i="11"/>
  <c r="A16" i="11"/>
  <c r="A17" i="11"/>
  <c r="A18" i="11"/>
  <c r="A9" i="11"/>
  <c r="A10" i="11"/>
  <c r="A11" i="11"/>
  <c r="A12" i="11"/>
  <c r="A13" i="11"/>
  <c r="A14" i="11"/>
  <c r="A8" i="11"/>
  <c r="A7" i="11"/>
  <c r="A6" i="11"/>
  <c r="D39" i="23" l="1"/>
  <c r="C42" i="23" s="1"/>
  <c r="D42" i="23" s="1"/>
  <c r="D44" i="23"/>
  <c r="C47" i="23" s="1"/>
  <c r="D47" i="23" s="1"/>
  <c r="I5" i="23"/>
  <c r="I46" i="23"/>
  <c r="H15" i="23"/>
  <c r="D169" i="22"/>
  <c r="E89" i="22"/>
  <c r="D168" i="22"/>
  <c r="E107" i="22"/>
  <c r="I53" i="23"/>
  <c r="H10" i="23"/>
  <c r="H20" i="23"/>
  <c r="I20" i="23" s="1"/>
  <c r="I52" i="23"/>
  <c r="D163" i="22"/>
  <c r="D162" i="22" s="1"/>
  <c r="E162" i="22" s="1"/>
  <c r="E98" i="22"/>
  <c r="R55" i="11"/>
  <c r="S55" i="11" s="1"/>
  <c r="S12" i="11"/>
  <c r="AM11" i="11"/>
  <c r="S9" i="11"/>
  <c r="AP8" i="11" s="1"/>
  <c r="AM8" i="11"/>
  <c r="AP1" i="11"/>
  <c r="S8" i="11"/>
  <c r="AP7" i="11" s="1"/>
  <c r="AM7" i="11"/>
  <c r="W8" i="11"/>
  <c r="AT7" i="11" s="1"/>
  <c r="R49" i="11"/>
  <c r="S49" i="11" s="1"/>
  <c r="R51" i="11" s="1"/>
  <c r="S11" i="11"/>
  <c r="AM10" i="11"/>
  <c r="S7" i="11"/>
  <c r="AP6" i="11" s="1"/>
  <c r="AM6" i="11"/>
  <c r="S10" i="11"/>
  <c r="AP9" i="11" s="1"/>
  <c r="AM9" i="11"/>
  <c r="R47" i="11"/>
  <c r="R37" i="11"/>
  <c r="S37" i="11" s="1"/>
  <c r="R39" i="11" s="1"/>
  <c r="S13" i="11"/>
  <c r="AM12" i="11"/>
  <c r="R41" i="11"/>
  <c r="S41" i="11" s="1"/>
  <c r="R43" i="11" s="1"/>
  <c r="W12" i="11"/>
  <c r="AT11" i="11" s="1"/>
  <c r="W7" i="11"/>
  <c r="AT6" i="11" s="1"/>
  <c r="W11" i="11"/>
  <c r="AT10" i="11" s="1"/>
  <c r="W10" i="11"/>
  <c r="W9" i="11"/>
  <c r="AT8" i="11" s="1"/>
  <c r="P14" i="11"/>
  <c r="D94" i="6"/>
  <c r="D93" i="6"/>
  <c r="E92" i="6"/>
  <c r="E90" i="6"/>
  <c r="F90" i="6" s="1"/>
  <c r="E88" i="6"/>
  <c r="E74" i="6"/>
  <c r="G75" i="6" s="1"/>
  <c r="H75" i="6" s="1"/>
  <c r="E79" i="6"/>
  <c r="G80" i="6" s="1"/>
  <c r="H80" i="6" s="1"/>
  <c r="E84" i="6"/>
  <c r="F84" i="6" s="1"/>
  <c r="E72" i="6"/>
  <c r="E77" i="6"/>
  <c r="E82" i="6"/>
  <c r="F31" i="6"/>
  <c r="F32" i="6" s="1"/>
  <c r="G35" i="6"/>
  <c r="H3" i="6"/>
  <c r="I10" i="23" l="1"/>
  <c r="I15" i="23"/>
  <c r="D167" i="22"/>
  <c r="E167" i="22" s="1"/>
  <c r="D95" i="6"/>
  <c r="AP12" i="11"/>
  <c r="P30" i="11"/>
  <c r="O30" i="11" s="1"/>
  <c r="AP10" i="11"/>
  <c r="P29" i="11"/>
  <c r="O29" i="11" s="1"/>
  <c r="W14" i="11"/>
  <c r="AT13" i="11" s="1"/>
  <c r="AT9" i="11"/>
  <c r="S14" i="11"/>
  <c r="AP13" i="11" s="1"/>
  <c r="P27" i="11"/>
  <c r="AM13" i="11"/>
  <c r="Q14" i="11"/>
  <c r="AN13" i="11" s="1"/>
  <c r="AP11" i="11"/>
  <c r="P28" i="11"/>
  <c r="O28" i="11" s="1"/>
  <c r="C3" i="6"/>
  <c r="D3" i="6" s="1"/>
  <c r="C1" i="6"/>
  <c r="O27" i="11" l="1"/>
  <c r="O31" i="11" s="1"/>
  <c r="P31" i="11"/>
  <c r="S15" i="11"/>
  <c r="J54" i="6" l="1"/>
  <c r="K54" i="6" s="1"/>
  <c r="L54" i="6"/>
  <c r="M46" i="6"/>
  <c r="I54" i="6"/>
  <c r="M54" i="6" l="1"/>
  <c r="N54" i="6" s="1"/>
  <c r="O54" i="6" s="1"/>
  <c r="D27" i="6"/>
  <c r="G61" i="6" l="1"/>
  <c r="J10" i="6"/>
  <c r="K10" i="6"/>
  <c r="L10" i="6"/>
  <c r="M10" i="6"/>
  <c r="N10" i="6"/>
  <c r="O10" i="6"/>
  <c r="P10" i="6"/>
  <c r="Q10" i="6"/>
  <c r="R10" i="6"/>
  <c r="S10" i="6"/>
  <c r="I10" i="6"/>
  <c r="P7" i="6"/>
  <c r="P8" i="6"/>
  <c r="D40" i="6"/>
  <c r="C41" i="6"/>
  <c r="D41" i="6" s="1"/>
  <c r="D37" i="6"/>
  <c r="C38" i="6"/>
  <c r="D38" i="6" s="1"/>
  <c r="E67" i="6" l="1"/>
  <c r="C21" i="6"/>
  <c r="C76" i="20" s="1"/>
  <c r="R12" i="6"/>
  <c r="R9" i="6" s="1"/>
  <c r="Q12" i="6"/>
  <c r="Q9" i="6" s="1"/>
  <c r="C25" i="6"/>
  <c r="H23" i="6"/>
  <c r="H24" i="6"/>
  <c r="F23" i="6"/>
  <c r="G23" i="6" s="1"/>
  <c r="F24" i="6"/>
  <c r="G24" i="6" s="1"/>
  <c r="D23" i="6"/>
  <c r="D24" i="6"/>
  <c r="O9" i="6"/>
  <c r="O14" i="6"/>
  <c r="S9" i="6"/>
  <c r="N12" i="6"/>
  <c r="J12" i="6"/>
  <c r="K12" i="6"/>
  <c r="L12" i="6"/>
  <c r="M12" i="6"/>
  <c r="S14" i="6"/>
  <c r="G76" i="20" l="1"/>
  <c r="C50" i="20"/>
  <c r="O45" i="20"/>
  <c r="C91" i="20"/>
  <c r="E91" i="20"/>
  <c r="O12" i="20"/>
  <c r="G50" i="20"/>
  <c r="U40" i="20"/>
  <c r="V40" i="20" s="1"/>
  <c r="E21" i="6"/>
  <c r="H9" i="6"/>
  <c r="H8" i="6" s="1"/>
  <c r="G8" i="6" s="1"/>
  <c r="L4" i="15"/>
  <c r="O4" i="15" s="1"/>
  <c r="O8" i="15" s="1"/>
  <c r="F33" i="6"/>
  <c r="P6" i="6"/>
  <c r="O6" i="6"/>
  <c r="O8" i="6"/>
  <c r="O7" i="6"/>
  <c r="S8" i="6"/>
  <c r="S7" i="6"/>
  <c r="S6" i="6"/>
  <c r="R6" i="6"/>
  <c r="R7" i="6"/>
  <c r="R8" i="6"/>
  <c r="Q6" i="6"/>
  <c r="Q7" i="6"/>
  <c r="Q8" i="6"/>
  <c r="N9" i="6"/>
  <c r="J9" i="6"/>
  <c r="L9" i="6"/>
  <c r="M9" i="6"/>
  <c r="K9" i="6"/>
  <c r="F8" i="5"/>
  <c r="G8" i="5" s="1"/>
  <c r="H8" i="5" s="1"/>
  <c r="F6" i="5"/>
  <c r="G6" i="5" s="1"/>
  <c r="H6" i="5" s="1"/>
  <c r="K97" i="5"/>
  <c r="K112" i="5"/>
  <c r="K116" i="5"/>
  <c r="K131" i="5"/>
  <c r="K53" i="5"/>
  <c r="K55" i="5"/>
  <c r="K63" i="5"/>
  <c r="K37" i="5"/>
  <c r="H6" i="6" l="1"/>
  <c r="G6" i="6" s="1"/>
  <c r="K76" i="20"/>
  <c r="G72" i="20"/>
  <c r="H21" i="6"/>
  <c r="E22" i="6"/>
  <c r="H22" i="6" s="1"/>
  <c r="E16" i="6"/>
  <c r="K50" i="20"/>
  <c r="G42" i="20"/>
  <c r="H7" i="6"/>
  <c r="G7" i="6" s="1"/>
  <c r="F35" i="6"/>
  <c r="F37" i="6"/>
  <c r="F38" i="6" s="1"/>
  <c r="F39" i="6" s="1"/>
  <c r="J8" i="6"/>
  <c r="J7" i="6"/>
  <c r="J6" i="6"/>
  <c r="N7" i="6"/>
  <c r="N6" i="6"/>
  <c r="N8" i="6"/>
  <c r="M8" i="6"/>
  <c r="M7" i="6"/>
  <c r="M6" i="6"/>
  <c r="L8" i="6"/>
  <c r="L7" i="6"/>
  <c r="L6" i="6"/>
  <c r="K6" i="6"/>
  <c r="K7" i="6"/>
  <c r="K8" i="6"/>
  <c r="H97" i="5"/>
  <c r="H100" i="5"/>
  <c r="H106" i="5"/>
  <c r="H112" i="5"/>
  <c r="H116" i="5"/>
  <c r="H85" i="5"/>
  <c r="H81" i="5"/>
  <c r="H131" i="5"/>
  <c r="H129" i="5"/>
  <c r="H127" i="5"/>
  <c r="H122" i="5"/>
  <c r="H67" i="5"/>
  <c r="H60" i="5"/>
  <c r="H63" i="5"/>
  <c r="H53" i="5"/>
  <c r="H55" i="5"/>
  <c r="H134" i="5"/>
  <c r="H137" i="5"/>
  <c r="H495" i="5"/>
  <c r="H490" i="5"/>
  <c r="H427" i="5"/>
  <c r="H560" i="5"/>
  <c r="H555" i="5" s="1"/>
  <c r="H582" i="5"/>
  <c r="H571" i="5"/>
  <c r="H566" i="5"/>
  <c r="H600" i="5"/>
  <c r="H360" i="5"/>
  <c r="H352" i="5"/>
  <c r="H312" i="5"/>
  <c r="H306" i="5"/>
  <c r="H301" i="5"/>
  <c r="H318" i="5"/>
  <c r="H324" i="5"/>
  <c r="H331" i="5"/>
  <c r="H342" i="5"/>
  <c r="H347" i="5"/>
  <c r="H366" i="5"/>
  <c r="H374" i="5"/>
  <c r="H379" i="5"/>
  <c r="H389" i="5"/>
  <c r="H398" i="5"/>
  <c r="K72" i="20" l="1"/>
  <c r="L76" i="20"/>
  <c r="M76" i="20"/>
  <c r="G101" i="20"/>
  <c r="G102" i="20" s="1"/>
  <c r="K42" i="20"/>
  <c r="U19" i="20"/>
  <c r="M50" i="20"/>
  <c r="L50" i="20"/>
  <c r="H16" i="6"/>
  <c r="H121" i="5"/>
  <c r="H52" i="5"/>
  <c r="H299" i="5"/>
  <c r="H133" i="5"/>
  <c r="H293" i="5"/>
  <c r="H287" i="5"/>
  <c r="H283" i="5"/>
  <c r="H277" i="5"/>
  <c r="H267" i="5"/>
  <c r="L72" i="20" l="1"/>
  <c r="M72" i="20"/>
  <c r="I12" i="6"/>
  <c r="I9" i="6" s="1"/>
  <c r="H13" i="6"/>
  <c r="L42" i="20"/>
  <c r="M42" i="20"/>
  <c r="C12" i="6"/>
  <c r="H265" i="5"/>
  <c r="H255" i="5"/>
  <c r="H252" i="5"/>
  <c r="H245" i="5"/>
  <c r="H258" i="5"/>
  <c r="H262" i="5"/>
  <c r="H219" i="5"/>
  <c r="H215" i="5"/>
  <c r="H208" i="5"/>
  <c r="H199" i="5"/>
  <c r="H177" i="5"/>
  <c r="H172" i="5"/>
  <c r="H163" i="5"/>
  <c r="H159" i="5"/>
  <c r="H156" i="5"/>
  <c r="H145" i="5"/>
  <c r="H670" i="5"/>
  <c r="H646" i="5"/>
  <c r="H741" i="5"/>
  <c r="H730" i="5"/>
  <c r="H722" i="5"/>
  <c r="H719" i="5"/>
  <c r="H711" i="5"/>
  <c r="H695" i="5"/>
  <c r="H676" i="5"/>
  <c r="H769" i="5"/>
  <c r="H800" i="5"/>
  <c r="H793" i="5"/>
  <c r="I8" i="6" l="1"/>
  <c r="C9" i="6"/>
  <c r="I6" i="6"/>
  <c r="I7" i="6"/>
  <c r="P4" i="20"/>
  <c r="H170" i="5"/>
  <c r="G22" i="5"/>
  <c r="C27" i="6" s="1"/>
  <c r="G23" i="5"/>
  <c r="Y85" i="20" s="1"/>
  <c r="AB85" i="20" s="1"/>
  <c r="AW85" i="20" s="1"/>
  <c r="G24" i="5"/>
  <c r="Y86" i="20" s="1"/>
  <c r="AB86" i="20" s="1"/>
  <c r="AW86" i="20" s="1"/>
  <c r="G25" i="5"/>
  <c r="H25" i="5" s="1"/>
  <c r="G26" i="5"/>
  <c r="H26" i="5" s="1"/>
  <c r="G27" i="5"/>
  <c r="G28" i="5"/>
  <c r="Y84" i="20" s="1"/>
  <c r="G29" i="5"/>
  <c r="G30" i="5"/>
  <c r="H30" i="5" s="1"/>
  <c r="H27" i="5" s="1"/>
  <c r="G31" i="5"/>
  <c r="G32" i="5"/>
  <c r="K32" i="5" s="1"/>
  <c r="G33" i="5"/>
  <c r="K33" i="5" s="1"/>
  <c r="G34" i="5"/>
  <c r="H34" i="5" s="1"/>
  <c r="G35" i="5"/>
  <c r="H35" i="5" s="1"/>
  <c r="G36" i="5"/>
  <c r="G37" i="5"/>
  <c r="G38" i="5"/>
  <c r="G39" i="5"/>
  <c r="H39" i="5" s="1"/>
  <c r="G40" i="5"/>
  <c r="H40" i="5" s="1"/>
  <c r="G41" i="5"/>
  <c r="G42" i="5"/>
  <c r="H42" i="5" s="1"/>
  <c r="G43" i="5"/>
  <c r="G44" i="5"/>
  <c r="H44" i="5" s="1"/>
  <c r="G45" i="5"/>
  <c r="H45" i="5" s="1"/>
  <c r="G46" i="5"/>
  <c r="H46" i="5" s="1"/>
  <c r="G47" i="5"/>
  <c r="K47" i="5" s="1"/>
  <c r="K43" i="5" s="1"/>
  <c r="G48" i="5"/>
  <c r="H48" i="5" s="1"/>
  <c r="G49" i="5"/>
  <c r="H49" i="5" s="1"/>
  <c r="G50" i="5"/>
  <c r="H50" i="5" s="1"/>
  <c r="G51" i="5"/>
  <c r="G52" i="5"/>
  <c r="G53" i="5"/>
  <c r="G54" i="5"/>
  <c r="G55" i="5"/>
  <c r="G56" i="5"/>
  <c r="G57" i="5"/>
  <c r="G58" i="5"/>
  <c r="G59" i="5"/>
  <c r="G60" i="5"/>
  <c r="G61" i="5"/>
  <c r="K61" i="5" s="1"/>
  <c r="K60" i="5" s="1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K78" i="5" s="1"/>
  <c r="G79" i="5"/>
  <c r="K79" i="5" s="1"/>
  <c r="G80" i="5"/>
  <c r="G81" i="5"/>
  <c r="G82" i="5"/>
  <c r="G83" i="5"/>
  <c r="K83" i="5" s="1"/>
  <c r="K81" i="5" s="1"/>
  <c r="G84" i="5"/>
  <c r="G85" i="5"/>
  <c r="G86" i="5"/>
  <c r="K86" i="5" s="1"/>
  <c r="G87" i="5"/>
  <c r="K87" i="5" s="1"/>
  <c r="G88" i="5"/>
  <c r="K88" i="5" s="1"/>
  <c r="G89" i="5"/>
  <c r="K89" i="5" s="1"/>
  <c r="G90" i="5"/>
  <c r="K90" i="5" s="1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K104" i="5" s="1"/>
  <c r="K100" i="5" s="1"/>
  <c r="G105" i="5"/>
  <c r="G106" i="5"/>
  <c r="G107" i="5"/>
  <c r="G108" i="5"/>
  <c r="G109" i="5"/>
  <c r="K109" i="5" s="1"/>
  <c r="K106" i="5" s="1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K124" i="5" s="1"/>
  <c r="K122" i="5" s="1"/>
  <c r="G125" i="5"/>
  <c r="G126" i="5"/>
  <c r="G127" i="5"/>
  <c r="G128" i="5"/>
  <c r="K128" i="5" s="1"/>
  <c r="K127" i="5" s="1"/>
  <c r="G129" i="5"/>
  <c r="G130" i="5"/>
  <c r="K130" i="5" s="1"/>
  <c r="K129" i="5" s="1"/>
  <c r="G131" i="5"/>
  <c r="G132" i="5"/>
  <c r="G133" i="5"/>
  <c r="AB132" i="20" s="1"/>
  <c r="G134" i="5"/>
  <c r="G135" i="5"/>
  <c r="G136" i="5"/>
  <c r="K136" i="5" s="1"/>
  <c r="K134" i="5" s="1"/>
  <c r="G137" i="5"/>
  <c r="G138" i="5"/>
  <c r="K138" i="5" s="1"/>
  <c r="K137" i="5" s="1"/>
  <c r="G143" i="5"/>
  <c r="G145" i="5"/>
  <c r="F146" i="5"/>
  <c r="G148" i="5"/>
  <c r="F149" i="5"/>
  <c r="F150" i="5"/>
  <c r="F151" i="5"/>
  <c r="F152" i="5"/>
  <c r="F153" i="5"/>
  <c r="F154" i="5"/>
  <c r="G156" i="5"/>
  <c r="F157" i="5"/>
  <c r="G159" i="5"/>
  <c r="F160" i="5"/>
  <c r="F161" i="5"/>
  <c r="G163" i="5"/>
  <c r="F164" i="5"/>
  <c r="F165" i="5"/>
  <c r="G167" i="5"/>
  <c r="F168" i="5"/>
  <c r="G170" i="5"/>
  <c r="G172" i="5"/>
  <c r="F173" i="5"/>
  <c r="F174" i="5"/>
  <c r="F175" i="5"/>
  <c r="G177" i="5"/>
  <c r="F178" i="5"/>
  <c r="F179" i="5"/>
  <c r="F180" i="5"/>
  <c r="G182" i="5"/>
  <c r="G184" i="5"/>
  <c r="F185" i="5"/>
  <c r="F186" i="5"/>
  <c r="F187" i="5"/>
  <c r="F188" i="5"/>
  <c r="F189" i="5"/>
  <c r="H189" i="5" s="1"/>
  <c r="F190" i="5"/>
  <c r="H190" i="5" s="1"/>
  <c r="F191" i="5"/>
  <c r="G193" i="5"/>
  <c r="F194" i="5"/>
  <c r="H194" i="5" s="1"/>
  <c r="H193" i="5" s="1"/>
  <c r="G196" i="5"/>
  <c r="F197" i="5"/>
  <c r="H197" i="5" s="1"/>
  <c r="H196" i="5" s="1"/>
  <c r="G199" i="5"/>
  <c r="F200" i="5"/>
  <c r="G202" i="5"/>
  <c r="F203" i="5"/>
  <c r="F204" i="5"/>
  <c r="H204" i="5" s="1"/>
  <c r="H202" i="5" s="1"/>
  <c r="G206" i="5"/>
  <c r="G208" i="5"/>
  <c r="F209" i="5"/>
  <c r="F210" i="5"/>
  <c r="F211" i="5"/>
  <c r="F212" i="5"/>
  <c r="F213" i="5"/>
  <c r="G215" i="5"/>
  <c r="F216" i="5"/>
  <c r="F217" i="5"/>
  <c r="G219" i="5"/>
  <c r="F220" i="5"/>
  <c r="F221" i="5"/>
  <c r="F222" i="5"/>
  <c r="G224" i="5"/>
  <c r="F225" i="5"/>
  <c r="H225" i="5" s="1"/>
  <c r="F226" i="5"/>
  <c r="F227" i="5"/>
  <c r="H227" i="5" s="1"/>
  <c r="F228" i="5"/>
  <c r="F229" i="5"/>
  <c r="F230" i="5"/>
  <c r="G232" i="5"/>
  <c r="G234" i="5"/>
  <c r="F235" i="5"/>
  <c r="F236" i="5"/>
  <c r="F237" i="5"/>
  <c r="F238" i="5"/>
  <c r="H238" i="5" s="1"/>
  <c r="F239" i="5"/>
  <c r="F240" i="5"/>
  <c r="F241" i="5"/>
  <c r="F242" i="5"/>
  <c r="H242" i="5" s="1"/>
  <c r="F243" i="5"/>
  <c r="G245" i="5"/>
  <c r="F246" i="5"/>
  <c r="F247" i="5"/>
  <c r="F248" i="5"/>
  <c r="F249" i="5"/>
  <c r="F250" i="5"/>
  <c r="G252" i="5"/>
  <c r="F253" i="5"/>
  <c r="G255" i="5"/>
  <c r="F256" i="5"/>
  <c r="G258" i="5"/>
  <c r="F259" i="5"/>
  <c r="F260" i="5"/>
  <c r="G262" i="5"/>
  <c r="F263" i="5"/>
  <c r="G265" i="5"/>
  <c r="G267" i="5"/>
  <c r="F268" i="5"/>
  <c r="F269" i="5"/>
  <c r="F270" i="5"/>
  <c r="F271" i="5"/>
  <c r="F272" i="5"/>
  <c r="F273" i="5"/>
  <c r="F274" i="5"/>
  <c r="F275" i="5"/>
  <c r="G277" i="5"/>
  <c r="F278" i="5"/>
  <c r="F279" i="5"/>
  <c r="F280" i="5"/>
  <c r="F281" i="5"/>
  <c r="G283" i="5"/>
  <c r="F284" i="5"/>
  <c r="F285" i="5"/>
  <c r="G287" i="5"/>
  <c r="F288" i="5"/>
  <c r="F289" i="5"/>
  <c r="F290" i="5"/>
  <c r="F291" i="5"/>
  <c r="G293" i="5"/>
  <c r="F294" i="5"/>
  <c r="F295" i="5"/>
  <c r="F296" i="5"/>
  <c r="F297" i="5"/>
  <c r="G299" i="5"/>
  <c r="G301" i="5"/>
  <c r="F302" i="5"/>
  <c r="F303" i="5"/>
  <c r="F304" i="5"/>
  <c r="G306" i="5"/>
  <c r="F307" i="5"/>
  <c r="F308" i="5"/>
  <c r="F309" i="5"/>
  <c r="F310" i="5"/>
  <c r="G312" i="5"/>
  <c r="F313" i="5"/>
  <c r="F314" i="5"/>
  <c r="G316" i="5"/>
  <c r="G318" i="5"/>
  <c r="F319" i="5"/>
  <c r="F320" i="5"/>
  <c r="F321" i="5"/>
  <c r="F322" i="5"/>
  <c r="G324" i="5"/>
  <c r="F325" i="5"/>
  <c r="F326" i="5"/>
  <c r="F327" i="5"/>
  <c r="F328" i="5"/>
  <c r="F329" i="5"/>
  <c r="G331" i="5"/>
  <c r="F332" i="5"/>
  <c r="F333" i="5"/>
  <c r="F334" i="5"/>
  <c r="F335" i="5"/>
  <c r="F336" i="5"/>
  <c r="F337" i="5"/>
  <c r="F338" i="5"/>
  <c r="F339" i="5"/>
  <c r="F340" i="5"/>
  <c r="G342" i="5"/>
  <c r="F343" i="5"/>
  <c r="F344" i="5"/>
  <c r="F345" i="5"/>
  <c r="G347" i="5"/>
  <c r="F348" i="5"/>
  <c r="F349" i="5"/>
  <c r="F350" i="5"/>
  <c r="G352" i="5"/>
  <c r="F353" i="5"/>
  <c r="F354" i="5"/>
  <c r="F355" i="5"/>
  <c r="F356" i="5"/>
  <c r="F357" i="5"/>
  <c r="F358" i="5"/>
  <c r="G360" i="5"/>
  <c r="F361" i="5"/>
  <c r="F362" i="5"/>
  <c r="F363" i="5"/>
  <c r="F364" i="5"/>
  <c r="G366" i="5"/>
  <c r="F367" i="5"/>
  <c r="F368" i="5"/>
  <c r="F369" i="5"/>
  <c r="F370" i="5"/>
  <c r="F371" i="5"/>
  <c r="F372" i="5"/>
  <c r="G374" i="5"/>
  <c r="F375" i="5"/>
  <c r="F376" i="5"/>
  <c r="F377" i="5"/>
  <c r="G379" i="5"/>
  <c r="F380" i="5"/>
  <c r="F381" i="5"/>
  <c r="F382" i="5"/>
  <c r="F383" i="5"/>
  <c r="F384" i="5"/>
  <c r="G386" i="5"/>
  <c r="F387" i="5"/>
  <c r="H387" i="5" s="1"/>
  <c r="H386" i="5" s="1"/>
  <c r="H316" i="5" s="1"/>
  <c r="G389" i="5"/>
  <c r="F390" i="5"/>
  <c r="F391" i="5"/>
  <c r="F392" i="5"/>
  <c r="F393" i="5"/>
  <c r="F394" i="5"/>
  <c r="F395" i="5"/>
  <c r="F396" i="5"/>
  <c r="G398" i="5"/>
  <c r="F399" i="5"/>
  <c r="F400" i="5"/>
  <c r="F401" i="5"/>
  <c r="F402" i="5"/>
  <c r="G404" i="5"/>
  <c r="G406" i="5"/>
  <c r="F407" i="5"/>
  <c r="F408" i="5"/>
  <c r="F409" i="5"/>
  <c r="H409" i="5" s="1"/>
  <c r="F410" i="5"/>
  <c r="F411" i="5"/>
  <c r="F412" i="5"/>
  <c r="F413" i="5"/>
  <c r="F414" i="5"/>
  <c r="H414" i="5" s="1"/>
  <c r="F415" i="5"/>
  <c r="F416" i="5"/>
  <c r="F417" i="5"/>
  <c r="H417" i="5" s="1"/>
  <c r="F418" i="5"/>
  <c r="H418" i="5" s="1"/>
  <c r="G420" i="5"/>
  <c r="F421" i="5"/>
  <c r="F422" i="5"/>
  <c r="F423" i="5"/>
  <c r="F424" i="5"/>
  <c r="F425" i="5"/>
  <c r="H425" i="5" s="1"/>
  <c r="H420" i="5" s="1"/>
  <c r="G427" i="5"/>
  <c r="F428" i="5"/>
  <c r="F429" i="5"/>
  <c r="F430" i="5"/>
  <c r="G432" i="5"/>
  <c r="F433" i="5"/>
  <c r="F434" i="5"/>
  <c r="F435" i="5"/>
  <c r="F436" i="5"/>
  <c r="F437" i="5"/>
  <c r="F438" i="5"/>
  <c r="F439" i="5"/>
  <c r="F440" i="5"/>
  <c r="H440" i="5" s="1"/>
  <c r="H432" i="5" s="1"/>
  <c r="G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H455" i="5" s="1"/>
  <c r="H442" i="5" s="1"/>
  <c r="G457" i="5"/>
  <c r="F458" i="5"/>
  <c r="F459" i="5"/>
  <c r="H459" i="5" s="1"/>
  <c r="H457" i="5" s="1"/>
  <c r="F460" i="5"/>
  <c r="F461" i="5"/>
  <c r="F462" i="5"/>
  <c r="G464" i="5"/>
  <c r="F465" i="5"/>
  <c r="F466" i="5"/>
  <c r="F467" i="5"/>
  <c r="F468" i="5"/>
  <c r="F469" i="5"/>
  <c r="F470" i="5"/>
  <c r="F471" i="5"/>
  <c r="F472" i="5"/>
  <c r="F473" i="5"/>
  <c r="F474" i="5"/>
  <c r="F475" i="5"/>
  <c r="H475" i="5" s="1"/>
  <c r="F476" i="5"/>
  <c r="F477" i="5"/>
  <c r="F478" i="5"/>
  <c r="H478" i="5" s="1"/>
  <c r="F479" i="5"/>
  <c r="H479" i="5" s="1"/>
  <c r="F480" i="5"/>
  <c r="F481" i="5"/>
  <c r="F482" i="5"/>
  <c r="F483" i="5"/>
  <c r="F484" i="5"/>
  <c r="F485" i="5"/>
  <c r="F486" i="5"/>
  <c r="F487" i="5"/>
  <c r="F488" i="5"/>
  <c r="G490" i="5"/>
  <c r="F491" i="5"/>
  <c r="F492" i="5"/>
  <c r="F493" i="5"/>
  <c r="G495" i="5"/>
  <c r="F496" i="5"/>
  <c r="F497" i="5"/>
  <c r="F498" i="5"/>
  <c r="G500" i="5"/>
  <c r="G502" i="5"/>
  <c r="F503" i="5"/>
  <c r="F504" i="5"/>
  <c r="F505" i="5"/>
  <c r="F506" i="5"/>
  <c r="F507" i="5"/>
  <c r="F508" i="5"/>
  <c r="H508" i="5" s="1"/>
  <c r="H502" i="5" s="1"/>
  <c r="G510" i="5"/>
  <c r="F511" i="5"/>
  <c r="F512" i="5"/>
  <c r="F513" i="5"/>
  <c r="F514" i="5"/>
  <c r="H514" i="5" s="1"/>
  <c r="F515" i="5"/>
  <c r="F516" i="5"/>
  <c r="F517" i="5"/>
  <c r="F518" i="5"/>
  <c r="F519" i="5"/>
  <c r="F520" i="5"/>
  <c r="H520" i="5" s="1"/>
  <c r="F521" i="5"/>
  <c r="G523" i="5"/>
  <c r="F524" i="5"/>
  <c r="F525" i="5"/>
  <c r="F526" i="5"/>
  <c r="F527" i="5"/>
  <c r="F528" i="5"/>
  <c r="F529" i="5"/>
  <c r="H529" i="5" s="1"/>
  <c r="F530" i="5"/>
  <c r="F531" i="5"/>
  <c r="F532" i="5"/>
  <c r="F533" i="5"/>
  <c r="F534" i="5"/>
  <c r="F535" i="5"/>
  <c r="H535" i="5" s="1"/>
  <c r="F536" i="5"/>
  <c r="H536" i="5" s="1"/>
  <c r="G538" i="5"/>
  <c r="F539" i="5"/>
  <c r="F540" i="5"/>
  <c r="F541" i="5"/>
  <c r="F542" i="5"/>
  <c r="F543" i="5"/>
  <c r="F544" i="5"/>
  <c r="H544" i="5" s="1"/>
  <c r="F545" i="5"/>
  <c r="H545" i="5" s="1"/>
  <c r="F546" i="5"/>
  <c r="F547" i="5"/>
  <c r="F548" i="5"/>
  <c r="F549" i="5"/>
  <c r="F550" i="5"/>
  <c r="F551" i="5"/>
  <c r="F552" i="5"/>
  <c r="F553" i="5"/>
  <c r="G555" i="5"/>
  <c r="F556" i="5"/>
  <c r="F557" i="5"/>
  <c r="F558" i="5"/>
  <c r="G560" i="5"/>
  <c r="F561" i="5"/>
  <c r="F562" i="5"/>
  <c r="G564" i="5"/>
  <c r="G566" i="5"/>
  <c r="F567" i="5"/>
  <c r="F568" i="5"/>
  <c r="F569" i="5"/>
  <c r="G571" i="5"/>
  <c r="F572" i="5"/>
  <c r="F573" i="5"/>
  <c r="F574" i="5"/>
  <c r="F575" i="5"/>
  <c r="F576" i="5"/>
  <c r="F577" i="5"/>
  <c r="F578" i="5"/>
  <c r="F579" i="5"/>
  <c r="F580" i="5"/>
  <c r="G582" i="5"/>
  <c r="F583" i="5"/>
  <c r="G585" i="5"/>
  <c r="F586" i="5"/>
  <c r="F587" i="5"/>
  <c r="H587" i="5" s="1"/>
  <c r="H585" i="5" s="1"/>
  <c r="F588" i="5"/>
  <c r="F589" i="5"/>
  <c r="F590" i="5"/>
  <c r="F591" i="5"/>
  <c r="G593" i="5"/>
  <c r="F594" i="5"/>
  <c r="F595" i="5"/>
  <c r="F596" i="5"/>
  <c r="H596" i="5" s="1"/>
  <c r="H593" i="5" s="1"/>
  <c r="F597" i="5"/>
  <c r="F598" i="5"/>
  <c r="G600" i="5"/>
  <c r="F601" i="5"/>
  <c r="G603" i="5"/>
  <c r="G605" i="5"/>
  <c r="F606" i="5"/>
  <c r="F607" i="5"/>
  <c r="F608" i="5"/>
  <c r="F609" i="5"/>
  <c r="F610" i="5"/>
  <c r="F611" i="5"/>
  <c r="F612" i="5"/>
  <c r="H612" i="5" s="1"/>
  <c r="F613" i="5"/>
  <c r="F614" i="5"/>
  <c r="F615" i="5"/>
  <c r="F616" i="5"/>
  <c r="F617" i="5"/>
  <c r="F618" i="5"/>
  <c r="H618" i="5" s="1"/>
  <c r="G620" i="5"/>
  <c r="F621" i="5"/>
  <c r="F622" i="5"/>
  <c r="F623" i="5"/>
  <c r="H623" i="5" s="1"/>
  <c r="F624" i="5"/>
  <c r="F625" i="5"/>
  <c r="F626" i="5"/>
  <c r="H626" i="5" s="1"/>
  <c r="F627" i="5"/>
  <c r="F628" i="5"/>
  <c r="F629" i="5"/>
  <c r="F630" i="5"/>
  <c r="F631" i="5"/>
  <c r="H631" i="5" s="1"/>
  <c r="F632" i="5"/>
  <c r="F633" i="5"/>
  <c r="F634" i="5"/>
  <c r="F635" i="5"/>
  <c r="F636" i="5"/>
  <c r="H636" i="5" s="1"/>
  <c r="F637" i="5"/>
  <c r="H637" i="5" s="1"/>
  <c r="G639" i="5"/>
  <c r="F640" i="5"/>
  <c r="F641" i="5"/>
  <c r="F642" i="5"/>
  <c r="H642" i="5" s="1"/>
  <c r="F643" i="5"/>
  <c r="H643" i="5" s="1"/>
  <c r="F644" i="5"/>
  <c r="G646" i="5"/>
  <c r="F647" i="5"/>
  <c r="F648" i="5"/>
  <c r="F649" i="5"/>
  <c r="F650" i="5"/>
  <c r="F651" i="5"/>
  <c r="F652" i="5"/>
  <c r="F653" i="5"/>
  <c r="F654" i="5"/>
  <c r="G656" i="5"/>
  <c r="F657" i="5"/>
  <c r="H657" i="5" s="1"/>
  <c r="H656" i="5" s="1"/>
  <c r="F658" i="5"/>
  <c r="G660" i="5"/>
  <c r="F661" i="5"/>
  <c r="F662" i="5"/>
  <c r="H662" i="5" s="1"/>
  <c r="F663" i="5"/>
  <c r="F664" i="5"/>
  <c r="F665" i="5"/>
  <c r="F666" i="5"/>
  <c r="H666" i="5" s="1"/>
  <c r="F667" i="5"/>
  <c r="H667" i="5" s="1"/>
  <c r="F668" i="5"/>
  <c r="H668" i="5" s="1"/>
  <c r="G670" i="5"/>
  <c r="F671" i="5"/>
  <c r="F672" i="5"/>
  <c r="G674" i="5"/>
  <c r="G676" i="5"/>
  <c r="F677" i="5"/>
  <c r="F678" i="5"/>
  <c r="F679" i="5"/>
  <c r="F680" i="5"/>
  <c r="F681" i="5"/>
  <c r="F682" i="5"/>
  <c r="F683" i="5"/>
  <c r="F684" i="5"/>
  <c r="F685" i="5"/>
  <c r="G687" i="5"/>
  <c r="F688" i="5"/>
  <c r="F689" i="5"/>
  <c r="F690" i="5"/>
  <c r="F691" i="5"/>
  <c r="F692" i="5"/>
  <c r="F693" i="5"/>
  <c r="H693" i="5" s="1"/>
  <c r="H687" i="5" s="1"/>
  <c r="G695" i="5"/>
  <c r="F696" i="5"/>
  <c r="F697" i="5"/>
  <c r="F698" i="5"/>
  <c r="F699" i="5"/>
  <c r="G701" i="5"/>
  <c r="F702" i="5"/>
  <c r="H702" i="5" s="1"/>
  <c r="F703" i="5"/>
  <c r="F704" i="5"/>
  <c r="H704" i="5" s="1"/>
  <c r="F705" i="5"/>
  <c r="F706" i="5"/>
  <c r="H706" i="5" s="1"/>
  <c r="F707" i="5"/>
  <c r="H707" i="5" s="1"/>
  <c r="F708" i="5"/>
  <c r="F709" i="5"/>
  <c r="G711" i="5"/>
  <c r="F712" i="5"/>
  <c r="F713" i="5"/>
  <c r="F714" i="5"/>
  <c r="F715" i="5"/>
  <c r="F716" i="5"/>
  <c r="F717" i="5"/>
  <c r="G719" i="5"/>
  <c r="F720" i="5"/>
  <c r="G722" i="5"/>
  <c r="F723" i="5"/>
  <c r="F724" i="5"/>
  <c r="F725" i="5"/>
  <c r="F726" i="5"/>
  <c r="F727" i="5"/>
  <c r="F728" i="5"/>
  <c r="G730" i="5"/>
  <c r="F731" i="5"/>
  <c r="F732" i="5"/>
  <c r="F733" i="5"/>
  <c r="F734" i="5"/>
  <c r="F735" i="5"/>
  <c r="F736" i="5"/>
  <c r="F737" i="5"/>
  <c r="F738" i="5"/>
  <c r="F739" i="5"/>
  <c r="G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G755" i="5"/>
  <c r="F756" i="5"/>
  <c r="F757" i="5"/>
  <c r="F758" i="5"/>
  <c r="F759" i="5"/>
  <c r="F760" i="5"/>
  <c r="F761" i="5"/>
  <c r="H761" i="5" s="1"/>
  <c r="H755" i="5" s="1"/>
  <c r="G763" i="5"/>
  <c r="F764" i="5"/>
  <c r="H764" i="5" s="1"/>
  <c r="F765" i="5"/>
  <c r="H765" i="5" s="1"/>
  <c r="F766" i="5"/>
  <c r="H766" i="5" s="1"/>
  <c r="F767" i="5"/>
  <c r="H767" i="5" s="1"/>
  <c r="G769" i="5"/>
  <c r="F770" i="5"/>
  <c r="G772" i="5"/>
  <c r="G774" i="5"/>
  <c r="F775" i="5"/>
  <c r="F776" i="5"/>
  <c r="F777" i="5"/>
  <c r="F778" i="5"/>
  <c r="H778" i="5" s="1"/>
  <c r="H774" i="5" s="1"/>
  <c r="G780" i="5"/>
  <c r="F781" i="5"/>
  <c r="F782" i="5"/>
  <c r="H782" i="5" s="1"/>
  <c r="F783" i="5"/>
  <c r="H783" i="5" s="1"/>
  <c r="F784" i="5"/>
  <c r="F785" i="5"/>
  <c r="F786" i="5"/>
  <c r="F787" i="5"/>
  <c r="F788" i="5"/>
  <c r="F789" i="5"/>
  <c r="F790" i="5"/>
  <c r="F791" i="5"/>
  <c r="G793" i="5"/>
  <c r="F794" i="5"/>
  <c r="F795" i="5"/>
  <c r="F796" i="5"/>
  <c r="F797" i="5"/>
  <c r="F798" i="5"/>
  <c r="G800" i="5"/>
  <c r="F801" i="5"/>
  <c r="F802" i="5"/>
  <c r="F803" i="5"/>
  <c r="F804" i="5"/>
  <c r="G21" i="5"/>
  <c r="AW87" i="20" l="1"/>
  <c r="AB131" i="20"/>
  <c r="AB122" i="20" s="1"/>
  <c r="G80" i="20"/>
  <c r="AB84" i="20"/>
  <c r="Y87" i="20"/>
  <c r="H41" i="5"/>
  <c r="O22" i="15"/>
  <c r="AB130" i="20"/>
  <c r="AB123" i="20" s="1"/>
  <c r="G83" i="20"/>
  <c r="H38" i="5"/>
  <c r="H37" i="5" s="1"/>
  <c r="O19" i="15"/>
  <c r="C6" i="6"/>
  <c r="D6" i="6" s="1"/>
  <c r="C7" i="6"/>
  <c r="D7" i="6" s="1"/>
  <c r="C8" i="6"/>
  <c r="D8" i="6" s="1"/>
  <c r="Q4" i="20"/>
  <c r="K133" i="5"/>
  <c r="C11" i="11"/>
  <c r="D11" i="11" s="1"/>
  <c r="B11" i="11" s="1"/>
  <c r="G266" i="5"/>
  <c r="C52" i="6"/>
  <c r="C8" i="11"/>
  <c r="D8" i="11" s="1"/>
  <c r="B8" i="11" s="1"/>
  <c r="F8" i="11" s="1"/>
  <c r="G183" i="5"/>
  <c r="C49" i="6"/>
  <c r="K31" i="5"/>
  <c r="K24" i="5"/>
  <c r="O3" i="11"/>
  <c r="S3" i="11" s="1"/>
  <c r="AI3" i="11" s="1"/>
  <c r="S20" i="11"/>
  <c r="G801" i="5"/>
  <c r="C20" i="11"/>
  <c r="D20" i="11" s="1"/>
  <c r="B20" i="11" s="1"/>
  <c r="C61" i="6"/>
  <c r="G773" i="5"/>
  <c r="C19" i="11"/>
  <c r="C60" i="6"/>
  <c r="G233" i="5"/>
  <c r="C10" i="11"/>
  <c r="D10" i="11" s="1"/>
  <c r="B10" i="11" s="1"/>
  <c r="C51" i="6"/>
  <c r="C7" i="11"/>
  <c r="D7" i="11" s="1"/>
  <c r="B7" i="11" s="1"/>
  <c r="G171" i="5"/>
  <c r="C48" i="6"/>
  <c r="K23" i="5"/>
  <c r="O2" i="11"/>
  <c r="S2" i="11" s="1"/>
  <c r="AI2" i="11" s="1"/>
  <c r="A11" i="6"/>
  <c r="H23" i="5"/>
  <c r="H22" i="5" s="1"/>
  <c r="H168" i="5"/>
  <c r="H167" i="5" s="1"/>
  <c r="K85" i="5"/>
  <c r="K67" i="5"/>
  <c r="G405" i="5"/>
  <c r="C14" i="11"/>
  <c r="C55" i="6"/>
  <c r="S22" i="11"/>
  <c r="G4" i="5"/>
  <c r="K121" i="5"/>
  <c r="K28" i="5"/>
  <c r="K27" i="5" s="1"/>
  <c r="O1" i="11"/>
  <c r="C28" i="6"/>
  <c r="D28" i="6" s="1"/>
  <c r="G604" i="5"/>
  <c r="C17" i="11"/>
  <c r="D17" i="11" s="1"/>
  <c r="B17" i="11" s="1"/>
  <c r="F17" i="11" s="1"/>
  <c r="C58" i="6"/>
  <c r="G565" i="5"/>
  <c r="C16" i="11"/>
  <c r="D16" i="11" s="1"/>
  <c r="B16" i="11" s="1"/>
  <c r="F16" i="11" s="1"/>
  <c r="C57" i="6"/>
  <c r="C6" i="11"/>
  <c r="G144" i="5"/>
  <c r="C47" i="6"/>
  <c r="G300" i="5"/>
  <c r="C12" i="11"/>
  <c r="D12" i="11" s="1"/>
  <c r="B12" i="11" s="1"/>
  <c r="C53" i="6"/>
  <c r="S23" i="11"/>
  <c r="C18" i="11"/>
  <c r="G675" i="5"/>
  <c r="C59" i="6"/>
  <c r="C15" i="11"/>
  <c r="D15" i="11" s="1"/>
  <c r="B15" i="11" s="1"/>
  <c r="G501" i="5"/>
  <c r="C56" i="6"/>
  <c r="C13" i="11"/>
  <c r="D13" i="11" s="1"/>
  <c r="B13" i="11" s="1"/>
  <c r="H37" i="20" s="1"/>
  <c r="G317" i="5"/>
  <c r="C54" i="6"/>
  <c r="C9" i="11"/>
  <c r="D9" i="11" s="1"/>
  <c r="B9" i="11" s="1"/>
  <c r="G207" i="5"/>
  <c r="C50" i="6"/>
  <c r="H152" i="5"/>
  <c r="H148" i="5" s="1"/>
  <c r="G19" i="5"/>
  <c r="F21" i="5" s="1"/>
  <c r="H43" i="5"/>
  <c r="H31" i="5"/>
  <c r="H564" i="5"/>
  <c r="H510" i="5"/>
  <c r="H538" i="5"/>
  <c r="H523" i="5"/>
  <c r="H464" i="5"/>
  <c r="H406" i="5"/>
  <c r="H605" i="5"/>
  <c r="G141" i="5"/>
  <c r="H234" i="5"/>
  <c r="H232" i="5" s="1"/>
  <c r="H184" i="5"/>
  <c r="H182" i="5" s="1"/>
  <c r="H224" i="5"/>
  <c r="H206" i="5" s="1"/>
  <c r="H639" i="5"/>
  <c r="H620" i="5"/>
  <c r="F4" i="5"/>
  <c r="H701" i="5"/>
  <c r="H763" i="5"/>
  <c r="H660" i="5"/>
  <c r="H780" i="5"/>
  <c r="H772" i="5" s="1"/>
  <c r="AW84" i="20" l="1"/>
  <c r="AW90" i="20" s="1"/>
  <c r="AB87" i="20"/>
  <c r="K80" i="20"/>
  <c r="G71" i="20"/>
  <c r="AB119" i="20"/>
  <c r="K83" i="20"/>
  <c r="O84" i="20"/>
  <c r="O85" i="20" s="1"/>
  <c r="O86" i="20" s="1"/>
  <c r="O87" i="20" s="1"/>
  <c r="O89" i="20" s="1"/>
  <c r="O90" i="20" s="1"/>
  <c r="Q90" i="20" s="1"/>
  <c r="S133" i="20"/>
  <c r="S134" i="20" s="1"/>
  <c r="S135" i="20" s="1"/>
  <c r="S136" i="20" s="1"/>
  <c r="S137" i="20" s="1"/>
  <c r="S138" i="20" s="1"/>
  <c r="S139" i="20" s="1"/>
  <c r="S140" i="20" s="1"/>
  <c r="S141" i="20" s="1"/>
  <c r="S142" i="20" s="1"/>
  <c r="S143" i="20" s="1"/>
  <c r="S144" i="20" s="1"/>
  <c r="S145" i="20" s="1"/>
  <c r="S146" i="20" s="1"/>
  <c r="S147" i="20" s="1"/>
  <c r="S148" i="20" s="1"/>
  <c r="S149" i="20" s="1"/>
  <c r="S150" i="20" s="1"/>
  <c r="S151" i="20" s="1"/>
  <c r="S152" i="20" s="1"/>
  <c r="S153" i="20" s="1"/>
  <c r="S154" i="20" s="1"/>
  <c r="S155" i="20" s="1"/>
  <c r="S156" i="20" s="1"/>
  <c r="S157" i="20" s="1"/>
  <c r="S158" i="20" s="1"/>
  <c r="S159" i="20" s="1"/>
  <c r="S160" i="20" s="1"/>
  <c r="S161" i="20" s="1"/>
  <c r="S162" i="20" s="1"/>
  <c r="S163" i="20" s="1"/>
  <c r="S164" i="20" s="1"/>
  <c r="S165" i="20" s="1"/>
  <c r="S166" i="20" s="1"/>
  <c r="S167" i="20" s="1"/>
  <c r="S168" i="20" s="1"/>
  <c r="S169" i="20" s="1"/>
  <c r="S170" i="20" s="1"/>
  <c r="S171" i="20" s="1"/>
  <c r="S172" i="20" s="1"/>
  <c r="S173" i="20" s="1"/>
  <c r="S174" i="20" s="1"/>
  <c r="S175" i="20" s="1"/>
  <c r="S176" i="20" s="1"/>
  <c r="S177" i="20" s="1"/>
  <c r="S178" i="20" s="1"/>
  <c r="S179" i="20" s="1"/>
  <c r="S180" i="20" s="1"/>
  <c r="S181" i="20" s="1"/>
  <c r="AB129" i="20"/>
  <c r="S4" i="20"/>
  <c r="H15" i="20"/>
  <c r="H28" i="20"/>
  <c r="H19" i="20"/>
  <c r="H9" i="20"/>
  <c r="H32" i="20"/>
  <c r="K52" i="5"/>
  <c r="H143" i="5"/>
  <c r="H500" i="5"/>
  <c r="F10" i="11"/>
  <c r="F9" i="11"/>
  <c r="F52" i="5"/>
  <c r="F11" i="11"/>
  <c r="F13" i="11"/>
  <c r="F12" i="11"/>
  <c r="F7" i="11"/>
  <c r="F121" i="5"/>
  <c r="F15" i="11"/>
  <c r="D61" i="6"/>
  <c r="F61" i="6"/>
  <c r="E61" i="6"/>
  <c r="D49" i="6"/>
  <c r="E49" i="6"/>
  <c r="F49" i="6"/>
  <c r="E54" i="6"/>
  <c r="F54" i="6"/>
  <c r="P54" i="6"/>
  <c r="P46" i="6" s="1"/>
  <c r="D54" i="6"/>
  <c r="D18" i="11"/>
  <c r="B18" i="11" s="1"/>
  <c r="I8" i="11"/>
  <c r="J8" i="11" s="1"/>
  <c r="L8" i="11" s="1"/>
  <c r="F47" i="6"/>
  <c r="D47" i="6"/>
  <c r="C63" i="6"/>
  <c r="E47" i="6"/>
  <c r="D55" i="6"/>
  <c r="F55" i="6"/>
  <c r="E55" i="6"/>
  <c r="I7" i="11"/>
  <c r="J7" i="11" s="1"/>
  <c r="L7" i="11" s="1"/>
  <c r="D14" i="11"/>
  <c r="B14" i="11" s="1"/>
  <c r="AI4" i="11"/>
  <c r="S19" i="11"/>
  <c r="S25" i="11" s="1"/>
  <c r="D58" i="6"/>
  <c r="F58" i="6"/>
  <c r="E58" i="6"/>
  <c r="K22" i="5"/>
  <c r="K21" i="5" s="1"/>
  <c r="D60" i="6"/>
  <c r="F60" i="6"/>
  <c r="E60" i="6"/>
  <c r="D52" i="6"/>
  <c r="E52" i="6"/>
  <c r="F52" i="6"/>
  <c r="E50" i="6"/>
  <c r="F50" i="6"/>
  <c r="D50" i="6"/>
  <c r="S1" i="11"/>
  <c r="O4" i="11"/>
  <c r="H4" i="5"/>
  <c r="D48" i="6"/>
  <c r="E48" i="6"/>
  <c r="F48" i="6"/>
  <c r="D19" i="11"/>
  <c r="B19" i="11" s="1"/>
  <c r="F19" i="11" s="1"/>
  <c r="I9" i="11"/>
  <c r="J9" i="11" s="1"/>
  <c r="L9" i="11" s="1"/>
  <c r="E59" i="6"/>
  <c r="F59" i="6"/>
  <c r="D59" i="6"/>
  <c r="F57" i="6"/>
  <c r="E57" i="6"/>
  <c r="D57" i="6"/>
  <c r="D51" i="6"/>
  <c r="F51" i="6"/>
  <c r="E51" i="6"/>
  <c r="F299" i="5"/>
  <c r="G142" i="5"/>
  <c r="F133" i="5"/>
  <c r="D56" i="6"/>
  <c r="F56" i="6"/>
  <c r="E56" i="6"/>
  <c r="D53" i="6"/>
  <c r="E53" i="6"/>
  <c r="F53" i="6"/>
  <c r="D6" i="11"/>
  <c r="B6" i="11" s="1"/>
  <c r="C22" i="11"/>
  <c r="D22" i="11" s="1"/>
  <c r="I6" i="11"/>
  <c r="H21" i="5"/>
  <c r="H19" i="5" s="1"/>
  <c r="F182" i="5"/>
  <c r="F800" i="5"/>
  <c r="F500" i="5"/>
  <c r="F674" i="5"/>
  <c r="F603" i="5"/>
  <c r="H404" i="5"/>
  <c r="F564" i="5"/>
  <c r="F206" i="5"/>
  <c r="F232" i="5"/>
  <c r="F265" i="5"/>
  <c r="F404" i="5"/>
  <c r="F316" i="5"/>
  <c r="F772" i="5"/>
  <c r="F143" i="5"/>
  <c r="F170" i="5"/>
  <c r="L4" i="5"/>
  <c r="M4" i="5" s="1"/>
  <c r="H674" i="5"/>
  <c r="H603" i="5"/>
  <c r="AB124" i="20" l="1"/>
  <c r="AD119" i="20"/>
  <c r="K71" i="20"/>
  <c r="G84" i="20"/>
  <c r="I71" i="20" s="1"/>
  <c r="S182" i="20"/>
  <c r="S183" i="20" s="1"/>
  <c r="S184" i="20" s="1"/>
  <c r="S185" i="20" s="1"/>
  <c r="S186" i="20" s="1"/>
  <c r="S188" i="20"/>
  <c r="L83" i="20"/>
  <c r="M83" i="20"/>
  <c r="M80" i="20"/>
  <c r="L80" i="20"/>
  <c r="S20" i="20"/>
  <c r="S1" i="20"/>
  <c r="H53" i="20"/>
  <c r="H42" i="20"/>
  <c r="H3" i="20"/>
  <c r="H62" i="20"/>
  <c r="K19" i="5"/>
  <c r="F2" i="5" s="1"/>
  <c r="F14" i="11"/>
  <c r="E63" i="6"/>
  <c r="F18" i="11"/>
  <c r="F6" i="11"/>
  <c r="B22" i="11"/>
  <c r="D63" i="6"/>
  <c r="F63" i="6"/>
  <c r="J6" i="11"/>
  <c r="L6" i="11" s="1"/>
  <c r="L10" i="11" s="1"/>
  <c r="I10" i="11"/>
  <c r="P9" i="20" s="1"/>
  <c r="AI1" i="11"/>
  <c r="AI5" i="11" s="1"/>
  <c r="AB125" i="20" s="1"/>
  <c r="S4" i="11"/>
  <c r="S26" i="11" s="1"/>
  <c r="S28" i="11" s="1"/>
  <c r="S29" i="11" s="1"/>
  <c r="O41" i="11" s="1"/>
  <c r="O43" i="11" s="1"/>
  <c r="H141" i="5"/>
  <c r="F141" i="5" s="1"/>
  <c r="I11" i="20" l="1"/>
  <c r="I55" i="20"/>
  <c r="I77" i="20"/>
  <c r="I9" i="20"/>
  <c r="G85" i="20"/>
  <c r="I78" i="20"/>
  <c r="I51" i="20"/>
  <c r="I56" i="20"/>
  <c r="I3" i="20"/>
  <c r="I8" i="20"/>
  <c r="I13" i="20"/>
  <c r="I57" i="20"/>
  <c r="I74" i="20"/>
  <c r="I45" i="20"/>
  <c r="I68" i="20"/>
  <c r="I33" i="20"/>
  <c r="I26" i="20"/>
  <c r="I60" i="20"/>
  <c r="I27" i="20"/>
  <c r="I50" i="20"/>
  <c r="I39" i="20"/>
  <c r="I5" i="20"/>
  <c r="I64" i="20"/>
  <c r="I58" i="20"/>
  <c r="I18" i="20"/>
  <c r="I22" i="20"/>
  <c r="I37" i="20"/>
  <c r="I38" i="20"/>
  <c r="I47" i="20"/>
  <c r="I79" i="20"/>
  <c r="I7" i="20"/>
  <c r="I67" i="20"/>
  <c r="I72" i="20"/>
  <c r="I20" i="20"/>
  <c r="I19" i="20"/>
  <c r="I40" i="20"/>
  <c r="I16" i="20"/>
  <c r="I30" i="20"/>
  <c r="I46" i="20"/>
  <c r="I42" i="20"/>
  <c r="I82" i="20"/>
  <c r="I28" i="20"/>
  <c r="I36" i="20"/>
  <c r="I49" i="20"/>
  <c r="I62" i="20"/>
  <c r="I43" i="20"/>
  <c r="I34" i="20"/>
  <c r="I48" i="20"/>
  <c r="I73" i="20"/>
  <c r="I14" i="20"/>
  <c r="I24" i="20"/>
  <c r="I69" i="20"/>
  <c r="I65" i="20"/>
  <c r="I29" i="20"/>
  <c r="I15" i="20"/>
  <c r="I17" i="20"/>
  <c r="I59" i="20"/>
  <c r="I75" i="20"/>
  <c r="I31" i="20"/>
  <c r="I32" i="20"/>
  <c r="I23" i="20"/>
  <c r="I53" i="20"/>
  <c r="I66" i="20"/>
  <c r="I54" i="20"/>
  <c r="I25" i="20"/>
  <c r="I44" i="20"/>
  <c r="I76" i="20"/>
  <c r="I35" i="20"/>
  <c r="I63" i="20"/>
  <c r="I4" i="20"/>
  <c r="I6" i="20"/>
  <c r="I12" i="20"/>
  <c r="I10" i="20"/>
  <c r="I21" i="20"/>
  <c r="I83" i="20"/>
  <c r="I80" i="20"/>
  <c r="AD103" i="20"/>
  <c r="AF120" i="20"/>
  <c r="AG120" i="20" s="1"/>
  <c r="AH120" i="20" s="1"/>
  <c r="AF103" i="20"/>
  <c r="AG103" i="20" s="1"/>
  <c r="AH103" i="20" s="1"/>
  <c r="AF100" i="20"/>
  <c r="AG100" i="20" s="1"/>
  <c r="AH100" i="20" s="1"/>
  <c r="AD111" i="20"/>
  <c r="AD113" i="20"/>
  <c r="AD95" i="20"/>
  <c r="AD117" i="20"/>
  <c r="AF117" i="20"/>
  <c r="AG117" i="20" s="1"/>
  <c r="AH117" i="20" s="1"/>
  <c r="AF91" i="20"/>
  <c r="AD121" i="20"/>
  <c r="AD109" i="20"/>
  <c r="AD104" i="20"/>
  <c r="AF115" i="20"/>
  <c r="AG115" i="20" s="1"/>
  <c r="AH115" i="20" s="1"/>
  <c r="AD91" i="20"/>
  <c r="AD97" i="20"/>
  <c r="AF110" i="20"/>
  <c r="AG110" i="20" s="1"/>
  <c r="AH110" i="20" s="1"/>
  <c r="AF112" i="20"/>
  <c r="AG112" i="20" s="1"/>
  <c r="AH112" i="20" s="1"/>
  <c r="AD116" i="20"/>
  <c r="AD96" i="20"/>
  <c r="AD107" i="20"/>
  <c r="AD106" i="20"/>
  <c r="AB134" i="20"/>
  <c r="AB135" i="20" s="1"/>
  <c r="AB137" i="20" s="1"/>
  <c r="AB138" i="20" s="1"/>
  <c r="AD112" i="20"/>
  <c r="AD102" i="20"/>
  <c r="AD115" i="20"/>
  <c r="AD110" i="20"/>
  <c r="AF94" i="20"/>
  <c r="AG94" i="20" s="1"/>
  <c r="AH94" i="20" s="1"/>
  <c r="AD100" i="20"/>
  <c r="AF116" i="20"/>
  <c r="AG116" i="20" s="1"/>
  <c r="AH116" i="20" s="1"/>
  <c r="AD99" i="20"/>
  <c r="AD114" i="20"/>
  <c r="AF113" i="20"/>
  <c r="AG113" i="20" s="1"/>
  <c r="AH113" i="20" s="1"/>
  <c r="AF121" i="20"/>
  <c r="AG121" i="20" s="1"/>
  <c r="AH121" i="20" s="1"/>
  <c r="AF108" i="20"/>
  <c r="AG108" i="20" s="1"/>
  <c r="AH108" i="20" s="1"/>
  <c r="AF118" i="20"/>
  <c r="AG118" i="20" s="1"/>
  <c r="AH118" i="20" s="1"/>
  <c r="AD108" i="20"/>
  <c r="AD105" i="20"/>
  <c r="AD94" i="20"/>
  <c r="AF109" i="20"/>
  <c r="AG109" i="20" s="1"/>
  <c r="AH109" i="20" s="1"/>
  <c r="BD114" i="20"/>
  <c r="AD118" i="20"/>
  <c r="AD92" i="20"/>
  <c r="AD98" i="20"/>
  <c r="AF97" i="20"/>
  <c r="AG97" i="20" s="1"/>
  <c r="AH97" i="20" s="1"/>
  <c r="AD101" i="20"/>
  <c r="AD93" i="20"/>
  <c r="AD120" i="20"/>
  <c r="AD122" i="20"/>
  <c r="AD123" i="20"/>
  <c r="M71" i="20"/>
  <c r="L71" i="20"/>
  <c r="K84" i="20"/>
  <c r="B23" i="11"/>
  <c r="F22" i="11"/>
  <c r="F23" i="11" s="1"/>
  <c r="H32" i="11" s="1"/>
  <c r="H33" i="11" s="1"/>
  <c r="J10" i="11"/>
  <c r="P7" i="20" l="1"/>
  <c r="L84" i="20"/>
  <c r="S60" i="20"/>
  <c r="M84" i="20"/>
  <c r="AG91" i="20"/>
  <c r="AH91" i="20" s="1"/>
  <c r="AF124" i="20"/>
  <c r="AF125" i="20" s="1"/>
  <c r="G90" i="20"/>
  <c r="G91" i="20" s="1"/>
  <c r="K85" i="20"/>
  <c r="L85" i="20" s="1"/>
  <c r="G95" i="20"/>
  <c r="B85" i="20"/>
  <c r="K6" i="11"/>
  <c r="Q9" i="20"/>
  <c r="Q27" i="11"/>
  <c r="Q29" i="11"/>
  <c r="Q30" i="11"/>
  <c r="Q28" i="11"/>
  <c r="K7" i="11"/>
  <c r="K8" i="11"/>
  <c r="K9" i="11"/>
  <c r="G96" i="20" l="1"/>
  <c r="O94" i="20" s="1"/>
  <c r="O98" i="20" s="1"/>
  <c r="P98" i="20" s="1"/>
  <c r="O93" i="20"/>
  <c r="O97" i="20" s="1"/>
  <c r="P97" i="20" s="1"/>
  <c r="P96" i="20" s="1"/>
  <c r="Q7" i="20"/>
  <c r="P8" i="20"/>
  <c r="T14" i="20" s="1"/>
  <c r="K10" i="11"/>
  <c r="U28" i="20" l="1"/>
  <c r="U22" i="20" s="1"/>
  <c r="U14" i="20"/>
  <c r="S7" i="20"/>
  <c r="S26" i="20" s="1"/>
  <c r="Q8" i="20"/>
  <c r="R7" i="20" s="1"/>
  <c r="R4" i="20" l="1"/>
  <c r="R3" i="20"/>
  <c r="S8" i="20"/>
  <c r="R6" i="20"/>
  <c r="R5" i="20"/>
  <c r="U23" i="20"/>
  <c r="U26" i="20"/>
  <c r="U27" i="20"/>
  <c r="U24" i="20"/>
  <c r="S16" i="20" l="1"/>
  <c r="T16" i="20" s="1"/>
  <c r="S12" i="20"/>
  <c r="P12" i="20" s="1"/>
  <c r="R8" i="20"/>
  <c r="D25" i="6" l="1"/>
  <c r="D26" i="6" l="1"/>
  <c r="I48" i="23"/>
  <c r="I45" i="23" s="1"/>
  <c r="H42" i="23"/>
  <c r="H37" i="23"/>
  <c r="H43" i="23" s="1"/>
  <c r="I43" i="23" s="1"/>
  <c r="I54" i="23"/>
  <c r="I51" i="23" s="1"/>
  <c r="H54" i="23"/>
  <c r="H51" i="23"/>
  <c r="C4" i="23"/>
  <c r="H48" i="23"/>
  <c r="H45" i="23" s="1"/>
  <c r="H56" i="23" l="1"/>
  <c r="I56" i="23" s="1"/>
  <c r="H49" i="23"/>
  <c r="I49" i="23" s="1"/>
  <c r="D4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 Roope</author>
    <author>R</author>
  </authors>
  <commentList>
    <comment ref="C2" authorId="0" shapeId="0" xr:uid="{00000000-0006-0000-0400-000001000000}">
      <text>
        <r>
          <rPr>
            <sz val="9"/>
            <color indexed="81"/>
            <rFont val="Tahoma"/>
            <family val="2"/>
          </rPr>
          <t>https://www.uusisuomi.fi/kotimaa/111356-704-aanioikeutetuista-aanesti</t>
        </r>
      </text>
    </comment>
    <comment ref="F5" authorId="1" shapeId="0" xr:uid="{00000000-0006-0000-0400-000002000000}">
      <text>
        <r>
          <rPr>
            <sz val="9"/>
            <color indexed="81"/>
            <rFont val="Tahoma"/>
            <family val="2"/>
          </rPr>
          <t>http://www.is.fi/taloussanomat/oma-raha/art-2000005306868.html</t>
        </r>
      </text>
    </comment>
    <comment ref="C16" authorId="0" shapeId="0" xr:uid="{00000000-0006-0000-0400-000003000000}">
      <text>
        <r>
          <rPr>
            <sz val="9"/>
            <color indexed="81"/>
            <rFont val="Tahoma"/>
            <family val="2"/>
          </rPr>
          <t>http://tilastokeskus.fi/til/perh/2014/perh_2014_2015-05-28_tie_001_fi.html</t>
        </r>
      </text>
    </comment>
    <comment ref="C17" authorId="0" shapeId="0" xr:uid="{00000000-0006-0000-0400-000004000000}">
      <text>
        <r>
          <rPr>
            <sz val="9"/>
            <color indexed="81"/>
            <rFont val="Tahoma"/>
            <family val="2"/>
          </rPr>
          <t>http://www.stat.fi/til/pop/</t>
        </r>
      </text>
    </comment>
    <comment ref="C18" authorId="0" shapeId="0" xr:uid="{00000000-0006-0000-0400-000005000000}">
      <text>
        <r>
          <rPr>
            <sz val="9"/>
            <color indexed="81"/>
            <rFont val="Tahoma"/>
            <family val="2"/>
          </rPr>
          <t>http://www.stat.fi/til/lop/index.html</t>
        </r>
      </text>
    </comment>
    <comment ref="C21" authorId="0" shapeId="0" xr:uid="{00000000-0006-0000-0400-000006000000}">
      <text>
        <r>
          <rPr>
            <sz val="9"/>
            <color indexed="81"/>
            <rFont val="Tahoma"/>
            <family val="2"/>
          </rPr>
          <t>http://tilastokeskus.fi/til/opiskt/2012/opiskt_2012_2014-01-29_tie_001_fi.html</t>
        </r>
      </text>
    </comment>
    <comment ref="E23" authorId="0" shapeId="0" xr:uid="{00000000-0006-0000-0400-000007000000}">
      <text>
        <r>
          <rPr>
            <sz val="9"/>
            <color indexed="81"/>
            <rFont val="Tahoma"/>
            <family val="2"/>
          </rPr>
          <t>http://www.stat.fi/til/vkp/index.html</t>
        </r>
      </text>
    </comment>
    <comment ref="C24" authorId="0" shapeId="0" xr:uid="{00000000-0006-0000-0400-000008000000}">
      <text>
        <r>
          <rPr>
            <sz val="9"/>
            <color indexed="81"/>
            <rFont val="Tahoma"/>
            <family val="2"/>
          </rPr>
          <t>http://www.kaleva.fi/uutiset/talous/yle-kuntatyontekijoiden-maara-vahenee-rajusti/641946/</t>
        </r>
      </text>
    </comment>
    <comment ref="E24" authorId="0" shapeId="0" xr:uid="{00000000-0006-0000-0400-000009000000}">
      <text>
        <r>
          <rPr>
            <sz val="9"/>
            <color indexed="81"/>
            <rFont val="Tahoma"/>
            <family val="2"/>
          </rPr>
          <t>http://www.stat.fi/til/ksp/2016/ksp_2016_2017-05-04_tie_001_fi.html</t>
        </r>
      </text>
    </comment>
    <comment ref="E25" authorId="0" shapeId="0" xr:uid="{00000000-0006-0000-0400-00000A000000}">
      <text>
        <r>
          <rPr>
            <sz val="9"/>
            <color indexed="81"/>
            <rFont val="Tahoma"/>
            <family val="2"/>
          </rPr>
          <t>http://www.stat.fi/til/yskp/index.html</t>
        </r>
      </text>
    </comment>
    <comment ref="C26" authorId="0" shapeId="0" xr:uid="{00000000-0006-0000-0400-00000B000000}">
      <text>
        <r>
          <rPr>
            <sz val="9"/>
            <color indexed="81"/>
            <rFont val="Tahoma"/>
            <family val="2"/>
          </rPr>
          <t>http://www.stat.fi/til/tyti/2016/13/tyti_2016_13_2017-04-12_kat_002_fi.html</t>
        </r>
      </text>
    </comment>
    <comment ref="C29" authorId="0" shapeId="0" xr:uid="{00000000-0006-0000-0400-00000C000000}">
      <text>
        <r>
          <rPr>
            <sz val="9"/>
            <color indexed="81"/>
            <rFont val="Tahoma"/>
            <family val="2"/>
          </rPr>
          <t>http://tilastokeskus.fi/til/perh/2014/perh_2014_2015-05-28_tie_001_fi.html</t>
        </r>
      </text>
    </comment>
    <comment ref="C37" authorId="0" shapeId="0" xr:uid="{00000000-0006-0000-0400-00000D000000}">
      <text>
        <r>
          <rPr>
            <sz val="9"/>
            <color indexed="81"/>
            <rFont val="Tahoma"/>
            <family val="2"/>
          </rPr>
          <t>https://www.mtv.fi/uutiset/kotimaa/artikkeli/hs-poliisien-maara-vahenee-ensi-vuonna/5899568</t>
        </r>
      </text>
    </comment>
    <comment ref="C38" authorId="0" shapeId="0" xr:uid="{00000000-0006-0000-0400-00000E000000}">
      <text>
        <r>
          <rPr>
            <sz val="9"/>
            <color indexed="81"/>
            <rFont val="Tahoma"/>
            <family val="2"/>
          </rPr>
          <t>http://www.terve.fi/terveydenhuolto/83833-liikaa-laakareita-valkotakkeja-enemman-kuin-koskaan</t>
        </r>
      </text>
    </comment>
    <comment ref="C40" authorId="0" shapeId="0" xr:uid="{00000000-0006-0000-0400-00000F000000}">
      <text>
        <r>
          <rPr>
            <sz val="9"/>
            <color indexed="81"/>
            <rFont val="Tahoma"/>
            <family val="2"/>
          </rPr>
          <t>http://www.ammattinetti.fi/ammatit/detail/604_ammatti?link=true</t>
        </r>
      </text>
    </comment>
    <comment ref="C41" authorId="0" shapeId="0" xr:uid="{00000000-0006-0000-0400-000010000000}">
      <text>
        <r>
          <rPr>
            <sz val="9"/>
            <color indexed="81"/>
            <rFont val="Tahoma"/>
            <family val="2"/>
          </rPr>
          <t>http://www.terve.fi/terveydenhuolto/83833-liikaa-laakareita-valkotakkeja-enemman-kuin-koskaan</t>
        </r>
      </text>
    </comment>
    <comment ref="C67" authorId="0" shapeId="0" xr:uid="{00000000-0006-0000-0400-000011000000}">
      <text>
        <r>
          <rPr>
            <sz val="9"/>
            <color indexed="81"/>
            <rFont val="Tahoma"/>
            <family val="2"/>
          </rPr>
          <t>http://www.studio55.fi/tastapuhutaan/article/ika-kallistaa-yksityista-sairausvakuutusta-perehdy-ehtoviidakkoon/3136176</t>
        </r>
      </text>
    </comment>
  </commentList>
</comments>
</file>

<file path=xl/sharedStrings.xml><?xml version="1.0" encoding="utf-8"?>
<sst xmlns="http://schemas.openxmlformats.org/spreadsheetml/2006/main" count="1513" uniqueCount="980">
  <si>
    <t>ALV</t>
  </si>
  <si>
    <t>Yhteisövero</t>
  </si>
  <si>
    <t>Ajoneuvovero</t>
  </si>
  <si>
    <t>Opetus- ja kulttuuriministeriö</t>
  </si>
  <si>
    <t>Sosiaali- ja terveysministeriö</t>
  </si>
  <si>
    <t>Työ- ja elinkeinoministeriö</t>
  </si>
  <si>
    <t>Oikeusministeriö</t>
  </si>
  <si>
    <t>Valtioneuvoston kanslia</t>
  </si>
  <si>
    <t>Kansalaisia</t>
  </si>
  <si>
    <t>Keskipalkka</t>
  </si>
  <si>
    <t>Kiinteistövero</t>
  </si>
  <si>
    <t>yhteensä</t>
  </si>
  <si>
    <t>%</t>
  </si>
  <si>
    <t>http://budjetti.vm.fi/indox/sisalto.jsp?year=2016&amp;lang=fi&amp;maindoc=/2016/aky/aky.xml&amp;opennode=0:1:5:</t>
  </si>
  <si>
    <t>Valtion talousarvio vuodelle 2016</t>
  </si>
  <si>
    <t>TULOARVIOT</t>
  </si>
  <si>
    <t>11. VEROT JA VERONLUONTEISET TULOT</t>
  </si>
  <si>
    <t>01. Tulon ja varallisuuden perusteella kannettavat verot</t>
  </si>
  <si>
    <t>01. Ansio- ja pääomatuloverot</t>
  </si>
  <si>
    <t>02. Yhteisövero</t>
  </si>
  <si>
    <t>03. Korkotulojen lähdevero</t>
  </si>
  <si>
    <t>04. Perintö- ja lahjavero</t>
  </si>
  <si>
    <t>04. Liikevaihdon perusteella kannettavat verot ja maksut</t>
  </si>
  <si>
    <t>01. Arvonlisävero</t>
  </si>
  <si>
    <t>02. Eräistä vakuutusmaksuista suoritettava vero</t>
  </si>
  <si>
    <t>03. Apteekkimaksut</t>
  </si>
  <si>
    <t>08. Valmisteverot</t>
  </si>
  <si>
    <t>01. Tupakkavero</t>
  </si>
  <si>
    <t>04. Alkoholijuomavero</t>
  </si>
  <si>
    <t>05. Makeisten, jäätelön ja virvoitusjuomien valmistevero</t>
  </si>
  <si>
    <t>07. Energiaverot</t>
  </si>
  <si>
    <t>08. Eräiden juomapakkausten valmistevero</t>
  </si>
  <si>
    <t>10. Muut verot</t>
  </si>
  <si>
    <t>03. Autovero</t>
  </si>
  <si>
    <t>05. Varainsiirtovero</t>
  </si>
  <si>
    <t>06. Arpajaisvero</t>
  </si>
  <si>
    <t>07. Ajoneuvovero</t>
  </si>
  <si>
    <t>08. Jätevero</t>
  </si>
  <si>
    <t>19. Muut veronluonteiset tulot</t>
  </si>
  <si>
    <t>03. Ratavero</t>
  </si>
  <si>
    <t>04. Eräät viestinnän maksut</t>
  </si>
  <si>
    <t>05. Eräät liikenteen maksut</t>
  </si>
  <si>
    <t>06. Väylämaksut</t>
  </si>
  <si>
    <t>08. Öljyjätemaksu</t>
  </si>
  <si>
    <t>09. Muut verotulot</t>
  </si>
  <si>
    <t xml:space="preserve">10. Sähkö- ja maakaasuverkkomaksut ja Perämeren tuulivoima-alueella perittävä tuulivoimamaksu </t>
  </si>
  <si>
    <t>11. Rahoitusvakausviraston hallintomaksut</t>
  </si>
  <si>
    <t>12. SEKALAISET TULOT</t>
  </si>
  <si>
    <t>24. Ulkoasiainministeriön hallinnonala</t>
  </si>
  <si>
    <t>99. Ulkoasiainministeriön hallinnonalan tulot</t>
  </si>
  <si>
    <t>25. Oikeusministeriön hallinnonala</t>
  </si>
  <si>
    <t>10. Tuomioistuintulot</t>
  </si>
  <si>
    <t>15. Yleisen edunvalvonnan tulot</t>
  </si>
  <si>
    <t>20. Ulosottomaksut</t>
  </si>
  <si>
    <t>99. Oikeusministeriön hallinnonalan muut tulot</t>
  </si>
  <si>
    <t>26. Sisäministeriön hallinnonala</t>
  </si>
  <si>
    <t xml:space="preserve">98. EU:lta saatavat tulot </t>
  </si>
  <si>
    <t>99. Sisäministeriön hallinnonalan muut tulot</t>
  </si>
  <si>
    <t>27. Puolustusministeriön hallinnonala</t>
  </si>
  <si>
    <t>01. Puolustushallinnon rakennuslaitoksen tulot</t>
  </si>
  <si>
    <t>20. Tulot irtaimen omaisuuden myynnistä ja rojaltimaksuista</t>
  </si>
  <si>
    <t>99. Puolustusministeriön hallinnonalan muut tulot</t>
  </si>
  <si>
    <t>28. Valtiovarainministeriön hallinnonala</t>
  </si>
  <si>
    <t>10. Tullin tulot</t>
  </si>
  <si>
    <t>11. Kuntien osuudet verotuskustannuksista</t>
  </si>
  <si>
    <t>12. Kansaneläkelaitoksen osuus verotuskustannuksista</t>
  </si>
  <si>
    <t>13. Evankelisluterilaisten seurakuntien osuudet verotuskustannuksista</t>
  </si>
  <si>
    <t>20. Valtion tieto- ja viestintätekniikkakeskuksen eräät tulot</t>
  </si>
  <si>
    <t>25. Metallirahatulot</t>
  </si>
  <si>
    <t>50. Siirto valtion eläkerahastosta</t>
  </si>
  <si>
    <t>51. Muiden eläkelaitosten puolesta maksettujen eläkemenojen hyvitykset</t>
  </si>
  <si>
    <t>52. Vakuutusmaksuja vastaavat maksut</t>
  </si>
  <si>
    <t>60. Työturvallisuusmaksu</t>
  </si>
  <si>
    <t>92. Euroopan unionin perinteisten omien varojen kantopalkkiot</t>
  </si>
  <si>
    <t>93. Euroopan unionilta saatavat tulot matkamenojen korvaamiseen</t>
  </si>
  <si>
    <t>99. Valtiovarainministeriön hallinnonalan muut tulot</t>
  </si>
  <si>
    <t>29. Opetus- ja kulttuuriministeriön hallinnonala</t>
  </si>
  <si>
    <t>70. Opintotukitoiminnan tulot</t>
  </si>
  <si>
    <t>88. Valtion osuus veikkauksen ja raha-arpajaisten voittovaroista</t>
  </si>
  <si>
    <t>99. Opetus- ja kulttuuriministeriön hallinnonalan muut tulot</t>
  </si>
  <si>
    <t>30. Maa- ja metsätalousministeriön hallinnonala</t>
  </si>
  <si>
    <t>01. EU:n maataloustukirahastosta saatavat tulot</t>
  </si>
  <si>
    <t>02. Maaseudun kehittämiseen saatavat tulot EU:lta</t>
  </si>
  <si>
    <t>03. Elinkeinokalatalouden kehittämiseen saatavat tulot EU:lta</t>
  </si>
  <si>
    <t>04. EU:lta saatavat muut tulot</t>
  </si>
  <si>
    <t>20. Valtion osuus totopeleistä saadusta tulosta</t>
  </si>
  <si>
    <t>40. Vesioikeudelliset kalatalousmaksut</t>
  </si>
  <si>
    <t>41. Tenojoen kalastuslupamaksut</t>
  </si>
  <si>
    <t>42. Hirvieläinten metsästysmaksut</t>
  </si>
  <si>
    <t xml:space="preserve">44. Kalastonhoitomaksut </t>
  </si>
  <si>
    <t>45. Riistanhoitomaksut</t>
  </si>
  <si>
    <t>99. Maa- ja metsätalousministeriön hallinnonalan muut tulot</t>
  </si>
  <si>
    <t>31. Liikenne- ja viestintäministeriön hallinnonala</t>
  </si>
  <si>
    <t>10. Liikenneviraston tulot</t>
  </si>
  <si>
    <t>99. Liikenne- ja viestintäministeriön hallinnonalan muut tulot</t>
  </si>
  <si>
    <t>32. Työ- ja elinkeinoministeriön hallinnonala</t>
  </si>
  <si>
    <t>20. Turvallisuus- ja kemikaaliviraston tulot</t>
  </si>
  <si>
    <t>30. Siirrot valtion talousarvion ulkopuolisista rahastoista</t>
  </si>
  <si>
    <t>31. Palkkaturvamaksujen palautukset</t>
  </si>
  <si>
    <t>50. EU:n rakennerahastoista ja muista koheesiopolitiikan rahastoista saatavat tulot</t>
  </si>
  <si>
    <t>99. Työ- ja elinkeinoministeriön hallinnonalan muut tulot</t>
  </si>
  <si>
    <t>33. Sosiaali- ja terveysministeriön hallinnonala</t>
  </si>
  <si>
    <t>02. Sosiaali- ja terveysalan lupa- ja valvontaviraston tulot</t>
  </si>
  <si>
    <t>03. Terveyden ja hyvinvoinnin laitoksen tulot</t>
  </si>
  <si>
    <t>90. Raha-automaattiyhdistyksen tuotto</t>
  </si>
  <si>
    <t>98. Valtionapujen palautukset</t>
  </si>
  <si>
    <t>99. Sosiaali- ja terveysministeriön hallinnonalan muut tulot</t>
  </si>
  <si>
    <t>35. Ympäristöministeriön hallinnonala</t>
  </si>
  <si>
    <t>10. Korvaukset ympäristövahinkojen torjuntatoimista</t>
  </si>
  <si>
    <t>20. Siirto valtion asuntorahastosta</t>
  </si>
  <si>
    <t>99. Ympäristöministeriön hallinnonalan muut tulot</t>
  </si>
  <si>
    <t>39. Muut sekalaiset tulot</t>
  </si>
  <si>
    <t>01. Sakkotulot ja tulot hallinnollisista maksuseuraamuksista</t>
  </si>
  <si>
    <t>02. Verotukseen liittyvät korkotulot</t>
  </si>
  <si>
    <t>04. Siirrettyjen määrärahojen peruutukset</t>
  </si>
  <si>
    <t>10. Muut sekalaiset tulot</t>
  </si>
  <si>
    <t>13. KORKOTULOT, OSAKKEIDEN MYYNTITULOT JA VOITON TULOUTUKSET</t>
  </si>
  <si>
    <t>01. Korkotulot</t>
  </si>
  <si>
    <t>04. Korot valtion lainoista liikelaitoksille</t>
  </si>
  <si>
    <t>05. Korot muista lainoista</t>
  </si>
  <si>
    <t>07. Korot talletuksista</t>
  </si>
  <si>
    <t>09. Muiden eläkelaitosten puolesta maksettujen eläkemenojen ja valtion muille eläkelaitoksille maksamien ennakoiden korkotulot</t>
  </si>
  <si>
    <t>03. Osinkotulot ja osakkeiden myyntitulot</t>
  </si>
  <si>
    <t>01. Osinkotulot, pääomanpalautukset ja osakkeiden myyntitulot</t>
  </si>
  <si>
    <t>04. Osuus valtion rahalaitosten voitosta</t>
  </si>
  <si>
    <t>01. Osuus Suomen Pankin voitosta</t>
  </si>
  <si>
    <t>05. Valtion liikelaitosten voiton tuloutukset</t>
  </si>
  <si>
    <t>01. Valtion liikelaitosten voiton tuloutukset</t>
  </si>
  <si>
    <t>15. LAINAT</t>
  </si>
  <si>
    <t>01. Valtiolle takaisin maksettavat lainat</t>
  </si>
  <si>
    <t>02. Takaisinmaksut valtion lainoista liikelaitoksille</t>
  </si>
  <si>
    <t>04. Muiden lainojen lyhennykset</t>
  </si>
  <si>
    <t>03. Valtion nettolainanotto ja velanhallinta</t>
  </si>
  <si>
    <t>01. Nettolainanotto ja velanhallinta</t>
  </si>
  <si>
    <t>MÄÄRÄRAHAT</t>
  </si>
  <si>
    <t>21. EDUSKUNTA</t>
  </si>
  <si>
    <t>01. Kansanedustajat</t>
  </si>
  <si>
    <t>01. Kansanedustajien toimintamenot(arviomääräraha)</t>
  </si>
  <si>
    <t>10. Eduskunnan kanslia</t>
  </si>
  <si>
    <t>01. Eduskunnan kanslian toimintamenot(arviomääräraha)</t>
  </si>
  <si>
    <t>02. Peruskorjaukseen liittyvät toimintamenot(arviomääräraha)</t>
  </si>
  <si>
    <t>29. Arvonlisäveromenot(arviomääräraha)</t>
  </si>
  <si>
    <t>51. Avustajatuki eduskuntaryhmille(arviomääräraha)</t>
  </si>
  <si>
    <t>70. Tietohallinnon laitehankinnat ja kehittämishankkeet(siirtomääräraha 3 v)</t>
  </si>
  <si>
    <t>74. Eduskunnan rakennusten peruskorjaukset(siirtomääräraha 3 v)</t>
  </si>
  <si>
    <t>20. Eduskunnan oikeusasiamies</t>
  </si>
  <si>
    <t>01. Eduskunnan oikeusasiamiehen kanslian toimintamenot(arviomääräraha)</t>
  </si>
  <si>
    <t>30. Ulkopoliittinen instituutti</t>
  </si>
  <si>
    <t>01. Ulkopoliittisen instituutin toimintamenot(siirtomääräraha 2 v)</t>
  </si>
  <si>
    <t>40. Valtiontalouden tarkastusvirasto</t>
  </si>
  <si>
    <t>01. Valtiontalouden tarkastusviraston toimintamenot(siirtomääräraha 2 v)</t>
  </si>
  <si>
    <t>90. Eduskunnan muut menot</t>
  </si>
  <si>
    <t>50. Eduskuntaryhmien ryhmäkanslioiden tukeminen(kiinteä määräraha)</t>
  </si>
  <si>
    <t>22. TASAVALLAN PRESIDENTTI</t>
  </si>
  <si>
    <t>01. Tasavallan presidentti</t>
  </si>
  <si>
    <t>01. Tasavallan presidentin palkkio(kiinteä määräraha)</t>
  </si>
  <si>
    <t>02. Tasavallan presidentin toimintamenot(siirtomääräraha 2 v)</t>
  </si>
  <si>
    <t>20. Vierailuista ja kokousmatkoista aiheutuvat menot(arviomääräraha)</t>
  </si>
  <si>
    <t>02. Tasavallan presidentin kanslia</t>
  </si>
  <si>
    <t>01. Tasavallan presidentin kanslian toimintamenot(siirtomääräraha 2 v)</t>
  </si>
  <si>
    <t>02. Eläkkeellä olevien presidenttien menot(siirtomääräraha 2 v)</t>
  </si>
  <si>
    <t>23. VALTIONEUVOSTON KANSLIA</t>
  </si>
  <si>
    <t>01. Hallinto</t>
  </si>
  <si>
    <t>01. Valtioneuvoston kanslian toimintamenot(siirtomääräraha 2 v)</t>
  </si>
  <si>
    <t>02. Ministereiden, heidän valtiosihteeriensä ja erityisavustajiensa palkkaukset(arviomääräraha)</t>
  </si>
  <si>
    <t>03. Euroopan unionin kansallisten asiantuntijoiden palkkamenot(siirtomääräraha 2 v)</t>
  </si>
  <si>
    <t>20. Pääministerin, kansliassa toimivien ministereiden ja heidän avustajiensa matkat(arviomääräraha)</t>
  </si>
  <si>
    <t>22. Valtioneuvoston selvitys- ja tutkimustoiminta(siirtomääräraha 3 v)</t>
  </si>
  <si>
    <t>23. Kokeilutoiminnan digitaalinen edistäminen(siirtomääräraha 3 v)</t>
  </si>
  <si>
    <t>10. Omistajaohjaus</t>
  </si>
  <si>
    <t>88. Osakehankinnat(siirtomääräraha 3 v)</t>
  </si>
  <si>
    <t>20. Poliittisen toiminnan avustaminen</t>
  </si>
  <si>
    <t>50. Puoluetoiminnan tukeminen(kiinteä määräraha)</t>
  </si>
  <si>
    <t>30. Oikeuskanslerinvirasto</t>
  </si>
  <si>
    <t>01. Oikeuskanslerinviraston toimintamenot(siirtomääräraha 2 v)</t>
  </si>
  <si>
    <t>90. Muut menot</t>
  </si>
  <si>
    <t>21. Kunniamerkit(arviomääräraha)</t>
  </si>
  <si>
    <t>26. Suomi 100(siirtomääräraha 3 v)</t>
  </si>
  <si>
    <t>24. ULKOASIAINMINISTERIÖN HALLINNONALA</t>
  </si>
  <si>
    <t>01. Ulkoasiainhallinto</t>
  </si>
  <si>
    <t>01. Ulkoasiainhallinnon toimintamenot(siirtomääräraha 2 v)</t>
  </si>
  <si>
    <t>21. Ulkoasiainministeriön hallinnonalan tuottavuusmääräraha(siirtomääräraha 2 v)</t>
  </si>
  <si>
    <t>29. Ulkoasiainministeriön hallinnonalan arvonlisäveromenot(arviomääräraha)</t>
  </si>
  <si>
    <t>74. Talonrakennukset(siirtomääräraha 3 v)</t>
  </si>
  <si>
    <t>76. Kiinteistöjen ja huoneistojen hankkiminen(siirtomääräraha 3 v)</t>
  </si>
  <si>
    <t>10. Kriisinhallinta</t>
  </si>
  <si>
    <t>20. Suomalaisten kriisinhallintajoukkojen ylläpitomenot(arviomääräraha)</t>
  </si>
  <si>
    <t>21. Siviilihenkilöstön osallistuminen kriisinhallintaan(kiinteä määräraha)</t>
  </si>
  <si>
    <t>30. Kansainvälinen kehitysyhteistyö</t>
  </si>
  <si>
    <t>50. Valtionapu Teollisen yhteistyön rahasto Oy:lle</t>
  </si>
  <si>
    <t>66. Varsinainen kehitysyhteistyö(siirtomääräraha 3 v)</t>
  </si>
  <si>
    <t>89. Kehitysyhteistyön finanssisijoitukset(siirtomääräraha 3 v)</t>
  </si>
  <si>
    <t>90. Ulkoasiainministeriön hallinnonalan muut menot</t>
  </si>
  <si>
    <t>50. Eräät valtionavut(kiinteä määräraha)</t>
  </si>
  <si>
    <t>51. Hädänalaisten avustaminen(arviomääräraha)</t>
  </si>
  <si>
    <t>66. Eräät jäsenmaksut ja rahoitusosuudet(siirtomääräraha 2 v)</t>
  </si>
  <si>
    <t>67. Kansainvälisen ilmastosopimuksen alaisen yhteistyön menot(siirtomääräraha 3 v)</t>
  </si>
  <si>
    <t>68. Itämeren, Barentsin ja arktisen alueen yhteistyö(siirtomääräraha 3 v)</t>
  </si>
  <si>
    <t>95. Kurssivaihtelut(arviomääräraha)</t>
  </si>
  <si>
    <t>25. OIKEUSMINISTERIÖN HALLINNONALA</t>
  </si>
  <si>
    <t>01. Ministeriö ja hallinto</t>
  </si>
  <si>
    <t>01. Oikeusministeriön toimintamenot(siirtomääräraha 2 v)</t>
  </si>
  <si>
    <t>03. Oikeusministeriön yhteydessä toimivien viranomaisten toimintamenot(siirtomääräraha 2 v)</t>
  </si>
  <si>
    <t>05. Oikeusrekisterikeskuksen toimintamenot(siirtomääräraha 2 v)</t>
  </si>
  <si>
    <t>20. Erityismenot(arviomääräraha)</t>
  </si>
  <si>
    <t>21. Oikeusministeriön hallinnonalan tuottavuusmääräraha(siirtomääräraha 2 v)</t>
  </si>
  <si>
    <t>22. Toimisto- ja viestintäjärjestelmien valtavirtaistaminen(siirtomääräraha 3 v)</t>
  </si>
  <si>
    <t>29. Oikeusministeriön hallinnonalan arvonlisäveromenot(arviomääräraha)</t>
  </si>
  <si>
    <t>50. Avustukset(kiinteä määräraha)</t>
  </si>
  <si>
    <t>51. Eräät valtion maksamat korvaukset(arviomääräraha)</t>
  </si>
  <si>
    <t>10. Tuomioistuimet ja oikeusapu</t>
  </si>
  <si>
    <t>01. Korkeimman oikeuden toimintamenot(siirtomääräraha 2 v)</t>
  </si>
  <si>
    <t>02. Korkeimman hallinto-oikeuden toimintamenot(siirtomääräraha 2 v)</t>
  </si>
  <si>
    <t>03. Muiden tuomioistuinten toimintamenot(siirtomääräraha 2 v)</t>
  </si>
  <si>
    <t>04. Oikeusaputoimistojen ja kuluttajariitalautakunnan toimintamenot(siirtomääräraha 2 v)</t>
  </si>
  <si>
    <t>50. Yksityisille oikeusavustajille maksettavat korvaukset(arviomääräraha)</t>
  </si>
  <si>
    <t>20. Maksuhäiriöt, ulosotto ja konkurssivalvonta</t>
  </si>
  <si>
    <t>01. Ulosottolaitoksen ja konkurssivalvonnan toimintamenot(siirtomääräraha 2 v)</t>
  </si>
  <si>
    <t>30. Syyttäjät</t>
  </si>
  <si>
    <t>01. Syyttäjälaitoksen toimintamenot(siirtomääräraha 2 v)</t>
  </si>
  <si>
    <t>40. Rangaistusten täytäntöönpano</t>
  </si>
  <si>
    <t>01. Rikosseuraamuslaitoksen toimintamenot(siirtomääräraha 2 v)</t>
  </si>
  <si>
    <t>74. Avolaitostyöt(siirtomääräraha 3 v)</t>
  </si>
  <si>
    <t>50. Vaalimenot</t>
  </si>
  <si>
    <t>20. Vaalimenot(arviomääräraha)</t>
  </si>
  <si>
    <t>26. SISÄMINISTERIÖN HALLINNONALA</t>
  </si>
  <si>
    <t>01. Sisäministeriön toimintamenot(siirtomääräraha 2 v)</t>
  </si>
  <si>
    <t>03. Hallinnon tietotekniikkakeskuksen toimintamenot(siirtomääräraha 2 v)</t>
  </si>
  <si>
    <t>20. Tietohallinnon yhteiset menot(siirtomääräraha 2 v)</t>
  </si>
  <si>
    <t>23. Siviilikriisinhallinnan kotimaan valmiudet(siirtomääräraha 2 v)</t>
  </si>
  <si>
    <t>24. EU:n osuus sisäisen turvallisuuden ja maahanmuuton hallintaan(siirtomääräraha 3 v)</t>
  </si>
  <si>
    <t>29. Sisäministeriön hallinnonalan arvonlisäveromenot(arviomääräraha)</t>
  </si>
  <si>
    <t>50. Eräät avustukset(kiinteä määräraha)</t>
  </si>
  <si>
    <t>66. Kansainvälisten järjestöjen jäsenmaksut ja maksuosuudet ulkomaille(arviomääräraha)</t>
  </si>
  <si>
    <t>10. Poliisitoimi</t>
  </si>
  <si>
    <t>01. Poliisitoimen toimintamenot(siirtomääräraha 2 v)</t>
  </si>
  <si>
    <t>02. Suojelupoliisin toimintamenot(siirtomääräraha 2 v)</t>
  </si>
  <si>
    <t>20. Maasta poistamis- ja noutokuljetuksista aiheutuvat menot(arviomääräraha)</t>
  </si>
  <si>
    <t>21. KEJO-hankkeen yhteiset toimintamenot(siirtomääräraha 3 v)</t>
  </si>
  <si>
    <t>20. Rajavartiolaitos</t>
  </si>
  <si>
    <t>01. Rajavartiolaitoksen toimintamenot(siirtomääräraha 2 v)</t>
  </si>
  <si>
    <t>70. Ilma- ja vartioalusten hankinta(siirtomääräraha 5 v)</t>
  </si>
  <si>
    <t>30. Pelastustoimi ja hätäkeskustoiminta</t>
  </si>
  <si>
    <t>01. Pelastustoimen toimintamenot(siirtomääräraha 2 v)</t>
  </si>
  <si>
    <t>02. Hätäkeskuslaitoksen toimintamenot(siirtomääräraha 2 v)</t>
  </si>
  <si>
    <t>43. Turvallisuusviranomaisten viestintäverkot(siirtomääräraha 3 v)</t>
  </si>
  <si>
    <t>40. Maahanmuutto</t>
  </si>
  <si>
    <t>01. Maahanmuuttoviraston ja valtion vastaanottokeskusten toimintamenot(siirtomääräraha 2 v)</t>
  </si>
  <si>
    <t>20. Paluumuuttajien muuttovalmennus(arviomääräraha)</t>
  </si>
  <si>
    <t>21. Pakolaisten ja turvapaikanhakijoiden vastaanotto(arviomääräraha)</t>
  </si>
  <si>
    <t>63. Vastaanottotoiminnan asiakkaille maksettavat tuet(arviomääräraha)</t>
  </si>
  <si>
    <t>27. PUOLUSTUSMINISTERIÖN HALLINNONALA</t>
  </si>
  <si>
    <t>01. Puolustuspolitiikka ja hallinto</t>
  </si>
  <si>
    <t>01. Puolustusministeriön toimintamenot(siirtomääräraha 2 v)</t>
  </si>
  <si>
    <t>21. Puolustusministeriön hallinnonalan tuottavuusmääräraha(siirtomääräraha 2 v)</t>
  </si>
  <si>
    <t>29. Puolustusministeriön hallinnonalan arvonlisäveromenot(arviomääräraha)</t>
  </si>
  <si>
    <t>10. Sotilaallinen maanpuolustus</t>
  </si>
  <si>
    <t>01. Puolustusvoimien toimintamenot(siirtomääräraha 2 v)</t>
  </si>
  <si>
    <t>18. Puolustusmateriaalihankinnat(siirtomääräraha 3 v)</t>
  </si>
  <si>
    <t>19. Hawk Mk 51 -koneiden modifiointi(siirtomääräraha 3 v)</t>
  </si>
  <si>
    <t>50. Maanpuolustusjärjestöjen toiminnan tukeminen(kiinteä määräraha)</t>
  </si>
  <si>
    <t>30. Sotilaallinen kriisinhallinta</t>
  </si>
  <si>
    <t>20. Sotilaallisen kriisinhallinnan kalusto- ja hallintomenot(siirtomääräraha 2 v)</t>
  </si>
  <si>
    <t>28. VALTIOVARAINMINISTERIÖN HALLINNONALA</t>
  </si>
  <si>
    <t>01. Valtiovarainministeriön toimintamenot(siirtomääräraha 2 v)</t>
  </si>
  <si>
    <t>20. Valtion kiinteistöstrategian toteuttaminen ja hallinnonalan omistajaohjaus(siirtomääräraha 2 v)</t>
  </si>
  <si>
    <t>21. Valtiovarainministeriön hallinnonalan tuottavuusmääräraha(siirtomääräraha 2 v)</t>
  </si>
  <si>
    <t>29. Valtiovarainministeriön hallinnonalan arvonlisäveromenot(arviomääräraha)</t>
  </si>
  <si>
    <t>10. Verotus ja tulli</t>
  </si>
  <si>
    <t>01. Verohallinnon toimintamenot(siirtomääräraha 2 v)</t>
  </si>
  <si>
    <t>02. Tullin toimintamenot(siirtomääräraha 2 v)</t>
  </si>
  <si>
    <t>63. Takaisin maksetut verot(arviomääräraha)</t>
  </si>
  <si>
    <t>95. Verotukseen liittyvät korkomenot(arviomääräraha)</t>
  </si>
  <si>
    <t>97. Autoveron vientipalautus(arviomääräraha)</t>
  </si>
  <si>
    <t>20. Palvelut valtioyhteisölle</t>
  </si>
  <si>
    <t>01. Valtiokonttorin toimintamenot(siirtomääräraha 2 v)</t>
  </si>
  <si>
    <t>02. Keskitettyjen valuuttatilien kurssierot(arviomääräraha)</t>
  </si>
  <si>
    <t>06. Sähköisen asioinnin ja hallinnon yhteiset palvelut(siirtomääräraha 2 v)</t>
  </si>
  <si>
    <t>07. Valtion talous- ja henkilöstöhallinnon palvelukeskuksen toimintamenot(siirtomääräraha 3 v)</t>
  </si>
  <si>
    <t>08. Valtion talous- ja henkilöstöhallinnon palvelukeskuksen kehittäminen(siirtomääräraha 3 v)</t>
  </si>
  <si>
    <t>09. Valtion tieto- ja viestintätekniikkakeskuksen toimintamenot (siirtomääräraha 2 v)</t>
  </si>
  <si>
    <t>10. Valtion tieto- ja viestintätekniikkakeskuksen investointimenot (siirtomääräraha 2 v)</t>
  </si>
  <si>
    <t>11. Valtion tieto- ja viestintätekniikkakeskuksen toiminnan turvaaminen(siirtomääräraha 2 v)</t>
  </si>
  <si>
    <t>88. Senaatti-kiinteistöt</t>
  </si>
  <si>
    <t>30. Tilastotoimi, taloudellinen tutkimus ja rekisterihallinto</t>
  </si>
  <si>
    <t>01. Tilastokeskuksen toimintamenot(siirtomääräraha 2 v)</t>
  </si>
  <si>
    <t>02. Valtion taloudellisen tutkimuskeskuksen toimintamenot(siirtomääräraha 2 v)</t>
  </si>
  <si>
    <t>03. Väestörekisterikeskuksen toimintamenot(siirtomääräraha 2 v)</t>
  </si>
  <si>
    <t>40. Valtion alue- ja paikallishallinto</t>
  </si>
  <si>
    <t>01. Aluehallintoviraston toimintamenot(siirtomääräraha 2 v)</t>
  </si>
  <si>
    <t>02. Maistraattien toimintamenot(siirtomääräraha 2 v)</t>
  </si>
  <si>
    <t>03. Alue- ja paikallishallinnon tukitoimet(siirtomääräraha 3 v)</t>
  </si>
  <si>
    <t>50. Eläkkeet ja korvaukset</t>
  </si>
  <si>
    <t>15. Eläkkeet(arviomääräraha)</t>
  </si>
  <si>
    <t>16. Ylimääräiset eläkkeet(arviomääräraha)</t>
  </si>
  <si>
    <t>17. Muut eläkemenot(arviomääräraha)</t>
  </si>
  <si>
    <t>50. Vahingonkorvaukset(arviomääräraha)</t>
  </si>
  <si>
    <t>63. Muiden eläkelaitosten vastattavaksi kuuluvat eläkemenot(arviomääräraha)</t>
  </si>
  <si>
    <t>95. Muiden eläkelaitosten valtion puolesta maksamien eläkemenojen ja valtiolle maksamien ennakoiden korkomenot(arviomääräraha)</t>
  </si>
  <si>
    <t>60. Valtionhallinnon yhteiset henkilöstömenot</t>
  </si>
  <si>
    <t>02. Erikseen budjetoidut palkkamenot(arviomääräraha)</t>
  </si>
  <si>
    <t>10. Työturvallisuuden edistäminen(siirtomääräraha 2 v)</t>
  </si>
  <si>
    <t>12. Osaamisen kehittäminen(siirtomääräraha 2 v)</t>
  </si>
  <si>
    <t>60. Siirto Koulutusrahastolle(arviomääräraha)</t>
  </si>
  <si>
    <t>70. Valtionhallinnon kehittäminen</t>
  </si>
  <si>
    <t>01. Valtion ICT:n ohjaus ja kehittäminen(siirtomääräraha 3 v)</t>
  </si>
  <si>
    <t>02. Valtion talous-, henkilöstö- ja toimitilahallinnon tietojärjestelmät(siirtomääräraha 3 v)</t>
  </si>
  <si>
    <t>03. Kansallisen tietoalan ohjaus ja kehittäminen (siirtomääräraha 3 v)</t>
  </si>
  <si>
    <t>20. Tuottavuuden edistäminen(siirtomääräraha 3 v)</t>
  </si>
  <si>
    <t>21. Kansallisen tulorekisterin toteutus(siirtomääräraha 3 v)</t>
  </si>
  <si>
    <t>22. Hallinnon palveluiden digitalisoinnin tuki(siirtomääräraha 3 v)</t>
  </si>
  <si>
    <t>80. Siirrot Ahvenanmaan maakunnalle</t>
  </si>
  <si>
    <t>30. Ahvenanmaan tasoitusmaksu(arviomääräraha)</t>
  </si>
  <si>
    <t>31. Verohyvitys Ahvenanmaan maakunnalle(arviomääräraha)</t>
  </si>
  <si>
    <t>33. Arpajaisveron tuoton palauttaminen Ahvenanmaan maakunnalle(arviomääräraha)</t>
  </si>
  <si>
    <t>90. Kuntien tukeminen</t>
  </si>
  <si>
    <t>20. Valtion ja kuntien yhteiset tietojärjestelmähankkeet(siirtomääräraha 3 v)</t>
  </si>
  <si>
    <t>22. Itsehallintoalueiden sekä hallinto- ja palvelurakenteiden kehittäminen ja tukeminen(siirtomääräraha 3 v)</t>
  </si>
  <si>
    <t>30. Valtionosuus kunnille peruspalvelujen järjestämiseen(arviomääräraha)</t>
  </si>
  <si>
    <t>31. Kuntien yhdistymisen taloudellinen tuki(arviomääräraha)</t>
  </si>
  <si>
    <t>34. Paikallisten kuntakokeilujen rahoitus(siirtomääräraha 3 v)</t>
  </si>
  <si>
    <t>91. Työllisyyden ja elinkeinoelämän tukeminen</t>
  </si>
  <si>
    <t>41. Energiaverotuki(arviomääräraha)</t>
  </si>
  <si>
    <t>92. EU ja kansainväliset järjestöt</t>
  </si>
  <si>
    <t>03. Rahoitusvakausviraston toimintamenot(siirtomääräraha 2 v)</t>
  </si>
  <si>
    <t>20. Euroopan unionin osallistuminen matkamenojen korvauksiin(siirtomääräraha 2 v)</t>
  </si>
  <si>
    <t>40. Isäntämaakorvaus Pohjoismaiden Investointipankille(kiinteä määräraha)</t>
  </si>
  <si>
    <t>67. Kansainvälisille rahoituslaitoksille annettujen sitoumusten lunastaminen(arviomääräraha)</t>
  </si>
  <si>
    <t>69. Maksut Euroopan unionille(arviomääräraha)</t>
  </si>
  <si>
    <t>87. Suomen osuus Aasian infrastruktuuri-investointipankin peruspääomasta(arviomääräraha)</t>
  </si>
  <si>
    <t>95. Valtion takaussuoritukset(arviomääräraha)</t>
  </si>
  <si>
    <t>99. Erikseen budjetoidut valtionhallinnon menot</t>
  </si>
  <si>
    <t>95. Satunnaiset säädösperusteiset menot(arviomääräraha)</t>
  </si>
  <si>
    <t>96. Ennakoimattomat menot(siirtomääräraha 3 v)</t>
  </si>
  <si>
    <t>97. Valtion saatavien turvaaminen(arviomääräraha)</t>
  </si>
  <si>
    <t>98. Kassasijoitusten riskienhallinta(siirtomääräraha 3 v)</t>
  </si>
  <si>
    <t>29. OPETUS- JA KULTTUURIMINISTERIÖN HALLINNONALA</t>
  </si>
  <si>
    <t>01. Hallinto, kirkollisasiat ja toimialan yhteiset menot</t>
  </si>
  <si>
    <t>01. Opetus- ja kulttuuriministeriön toimintamenot(siirtomääräraha 2 v)</t>
  </si>
  <si>
    <t>02. Opetushallituksen toimintamenot(siirtomääräraha 2 v)</t>
  </si>
  <si>
    <t>03. Kansainvälisen liikkuvuuden ja yhteistyön keskuksen CIMOn toimintamenot(siirtomääräraha 2 v)</t>
  </si>
  <si>
    <t>04. Kansallisen koulutuksen arviointikeskuksen toimintamenot(siirtomääräraha 2 v)</t>
  </si>
  <si>
    <t>21. Kansainvälinen yhteistyö(siirtomääräraha 2 v)</t>
  </si>
  <si>
    <t>22. Eräät käyttöoikeuskorvaukset(siirtomääräraha 3 v)</t>
  </si>
  <si>
    <t>29. Opetus- ja kulttuuriministeriön hallinnonalan arvonlisäveromenot(arviomääräraha)</t>
  </si>
  <si>
    <t>51. Avustukset kirkolliseen ja uskonnolliseen toimintaan(kiinteä määräraha)</t>
  </si>
  <si>
    <t>52. Valtion rahoitus evankelis-luterilaisen kirkon yhteiskunnallisiin tehtäviin(arviomääräraha)</t>
  </si>
  <si>
    <t>53. Eräät turvapaikanhakijoista ja maahanmuuttajista aiheutuvat avustukset(siirtomääräraha 2 v)</t>
  </si>
  <si>
    <t>66. Rahoitusosuudet kansainvälisille järjestöille(arviomääräraha)</t>
  </si>
  <si>
    <t>10. Yleissivistävä koulutus ja varhaiskasvatus</t>
  </si>
  <si>
    <t>01. Valtion yleissivistävän koulutuksen toimintamenot(siirtomääräraha 2 v)</t>
  </si>
  <si>
    <t>02. Ylioppilastutkintolautakunnan toimintamenot(siirtomääräraha 2 v)</t>
  </si>
  <si>
    <t>20. Yleissivistävän koulutuksen ja varhaiskasvatuksen yhteiset menot(siirtomääräraha 3 v)</t>
  </si>
  <si>
    <t>30. Valtionosuus ja -avustus yleissivistävän koulutuksen käyttökustannuksiin(arviomääräraha)</t>
  </si>
  <si>
    <t>51. Valtionavustus järjestöille(kiinteä määräraha)</t>
  </si>
  <si>
    <t>20. Ammatillinen koulutus</t>
  </si>
  <si>
    <t>01. Valtion ammatillisen koulutuksen toimintamenot(siirtomääräraha 2 v)</t>
  </si>
  <si>
    <t>21. Ammatillisen koulutuksen kehittäminen(siirtomääräraha 2 v)</t>
  </si>
  <si>
    <t>30. Valtionosuus ja -avustus ammatillisen koulutuksen käyttökustannuksiin(arviomääräraha)</t>
  </si>
  <si>
    <t>30. Aikuiskoulutus</t>
  </si>
  <si>
    <t>20. Opetustoimen henkilöstökoulutus ja eräät muut menot(siirtomääräraha 2 v)</t>
  </si>
  <si>
    <t>21. Aikuiskoulutuksen kehittäminen(siirtomääräraha 2 v)</t>
  </si>
  <si>
    <t>30. Valtionosuus vapaan sivistystyön oppilaitosten käyttökustannuksiin(arviomääräraha)</t>
  </si>
  <si>
    <t>31. Valtionosuus ja -avustus ammatilliseen lisäkoulutukseen(arviomääräraha)</t>
  </si>
  <si>
    <t>32. Valtionosuus ja -avustus oppisopimuskoulutukseen(arviomääräraha)</t>
  </si>
  <si>
    <t>33. Nuorten aikuisten osaamisohjelma(arviomääräraha)</t>
  </si>
  <si>
    <t>51. Valtionosuus ammatillisten erikoisoppilaitosten käyttökustannuksiin(arviomääräraha)</t>
  </si>
  <si>
    <t>53. Valtionavustus järjestöille(kiinteä määräraha)</t>
  </si>
  <si>
    <t>40. Korkeakouluopetus ja tutkimus</t>
  </si>
  <si>
    <t>01. Suomen Akatemian toimintamenot(siirtomääräraha 2 v)</t>
  </si>
  <si>
    <t>02. Arkistolaitoksen toimintamenot(siirtomääräraha 2 v)</t>
  </si>
  <si>
    <t>03. Kotimaisten kielten keskuksen toimintamenot(siirtomääräraha 2 v)</t>
  </si>
  <si>
    <t>04. Varastokirjaston toimintamenot(siirtomääräraha 2 v)</t>
  </si>
  <si>
    <t>20. Korkeakoululaitoksen ja tieteen yhteiset menot(siirtomääräraha 3 v)</t>
  </si>
  <si>
    <t>22. Tutkimusinfrastruktuurihankkeiden rahoitus(siirtomääräraha 3 v)</t>
  </si>
  <si>
    <t>50. Valtionrahoitus yliopistojen toimintaan(siirtomääräraha 2 v)</t>
  </si>
  <si>
    <t>51. Suomen Akatemian tutkimusmäärärahat(arviomääräraha)</t>
  </si>
  <si>
    <t>52. Erityinen valtionrahoitus Helsingin yliopiston ja Itä-Suomen yliopiston opetus- ja tutkimustoimintaan(kiinteä määräraha)</t>
  </si>
  <si>
    <t>53. Veikkauksen ja raha-arpajaisten voittovarat tieteen edistämiseen(arviomääräraha)</t>
  </si>
  <si>
    <t>54. Strateginen tutkimusrahoitus(arviomääräraha)</t>
  </si>
  <si>
    <t>55. Valtionrahoitus ammattikorkeakoulujen toimintaan(siirtomääräraha 2 v)</t>
  </si>
  <si>
    <t>70. Opintotuki</t>
  </si>
  <si>
    <t>01. Opintotuen muutoksenhakulautakunnan toimintamenot(siirtomääräraha 2 v)</t>
  </si>
  <si>
    <t>52. Opintolainojen valtiontakaus(arviomääräraha)</t>
  </si>
  <si>
    <t>55. Opintoraha ja asumislisä(arviomääräraha)</t>
  </si>
  <si>
    <t>57. Korkeakouluopiskelijoiden ateriatuki(arviomääräraha)</t>
  </si>
  <si>
    <t>59. Lukiokoulutuksen ja ammatillisen koulutuksen opiskelijoiden koulumatkatuki(arviomääräraha)</t>
  </si>
  <si>
    <t>80. Taide ja kulttuuri</t>
  </si>
  <si>
    <t>01. Taiteen edistämiskeskuksen toimintamenot(siirtomääräraha 2 v)</t>
  </si>
  <si>
    <t>03. Suomenlinnan hoitokunnan toimintamenot(siirtomääräraha 2 v)</t>
  </si>
  <si>
    <t>04. Museoviraston toimintamenot(siirtomääräraha 2 v)</t>
  </si>
  <si>
    <t>05. Näkövammaisten kirjaston toimintamenot(siirtomääräraha 2 v)</t>
  </si>
  <si>
    <t>06. Kansallisen audiovisuaalisen instituutin toimintamenot(siirtomääräraha 2 v)</t>
  </si>
  <si>
    <t>16. Ylimääräiset taiteilija- ja sanomalehtimieseläkkeet(arviomääräraha)</t>
  </si>
  <si>
    <t>20. Museoviraston kulttuuri- ja nähtävyyskohteiden tilakustannukset(siirtomääräraha 2 v)</t>
  </si>
  <si>
    <t>30. Valtionavustukset yleisten kirjastojen toimintaan(kiinteä määräraha)</t>
  </si>
  <si>
    <t>31. Valtionosuus ja -avustus teattereiden ja orkestereiden käyttökustannuksiin(arviomääräraha)</t>
  </si>
  <si>
    <t>32. Valtionosuudet ja -avustukset museoille(arviomääräraha)</t>
  </si>
  <si>
    <t>35. Valtionavustus Suomen itsenäisyyden 100-vuotisjuhlavuoden merkkihankkeen perustamiskustannuksiin (siirtomääräraha 3 v)</t>
  </si>
  <si>
    <t>40. Korvaus Suomenlinnan huoltoliikenteen käyttötappioon(arviomääräraha)</t>
  </si>
  <si>
    <t>41. Eräät käyttöoikeuskorvaukset(siirtomääräraha 3 v)</t>
  </si>
  <si>
    <t>50. Eräät avustukset(siirtomääräraha 3 v)</t>
  </si>
  <si>
    <t>51. Apurahat taiteilijoille, kirjailijoille ja kääntäjille(arviomääräraha)</t>
  </si>
  <si>
    <t>52. Veikkauksen ja raha-arpajaisten voittovarat taiteen edistämiseen(arviomääräraha)</t>
  </si>
  <si>
    <t>53. Valtionavustus tilakustannuksiin(kiinteä määräraha)</t>
  </si>
  <si>
    <t>54. Valtionavustus taide- ja kulttuurilaitosten toimitilainvestointeihin(kiinteä määräraha)</t>
  </si>
  <si>
    <t>55. Digitaalisen kulttuuriperinnön saatavuus ja säilyttäminen(siirtomääräraha 3 v)</t>
  </si>
  <si>
    <t>56. Ylimääräinen valtionavustus Pietari-säätiölle Suomen Pietarin instituutin ja Pietarin suomalaisen koulun toiminnan turvaamiseen(kiinteä määräraha)</t>
  </si>
  <si>
    <t>59. Eräät avustukset Kansallisgallerialle(siirtomääräraha 2 v)</t>
  </si>
  <si>
    <t>72. Kansallisgallerian kokoelman kartuttaminen(siirtomääräraha 3 v)</t>
  </si>
  <si>
    <t>75. Toimitilojen ja kiinteistövarallisuuden perusparannukset ja kunnossapito(siirtomääräraha 3 v)</t>
  </si>
  <si>
    <t>95. Kulttuuriympäristön suojelusta aiheutuvat menot(arviomääräraha)</t>
  </si>
  <si>
    <t>90. Liikuntatoimi</t>
  </si>
  <si>
    <t>30. Avustus Liikkuva koulu -ohjelmaan (siirtomääräraha 3 v)</t>
  </si>
  <si>
    <t>50. Veikkauksen ja raha-arpajaisten voittovarat urheilun ja liikuntakasvatuksen edistämiseen(arviomääräraha)</t>
  </si>
  <si>
    <t>52. Valtionosuus liikunnan koulutuskeskuksille ja rahoitus liikuntatieteellisten hankkeiden arviointikustannuksiin(kiinteä määräraha)</t>
  </si>
  <si>
    <t>91. Nuorisotyö</t>
  </si>
  <si>
    <t>50. Veikkauksen ja raha-arpajaisten voittovarat nuorisotyön edistämiseen(arviomääräraha)</t>
  </si>
  <si>
    <t>51. Nuorten työpajatoiminta ja etsivä nuorisotyö(siirtomääräraha 2 v)</t>
  </si>
  <si>
    <t>52. Saamelaisten kulttuuri- ja kielipesätoiminta(siirtomääräraha 2 v)</t>
  </si>
  <si>
    <t>30. MAA- JA METSÄTALOUSMINISTERIÖN HALLINNONALA</t>
  </si>
  <si>
    <t>01. Hallinto ja tutkimus</t>
  </si>
  <si>
    <t>01. Maa- ja metsätalousministeriön toimintamenot(siirtomääräraha 2 v)</t>
  </si>
  <si>
    <t>05. Luonnonvarakeskuksen toimintamenot(siirtomääräraha 2 v)</t>
  </si>
  <si>
    <t>(21.) Kansainvälinen yhteistyö(siirtomääräraha 2 v)</t>
  </si>
  <si>
    <t>22. Tutkimus ja kehittäminen(siirtomääräraha 3 v)</t>
  </si>
  <si>
    <t>29. Maa- ja metsätalousministeriön hallinnonalan arvonlisäveromenot(arviomääräraha)</t>
  </si>
  <si>
    <t>10. Maaseudun kehittäminen</t>
  </si>
  <si>
    <t>40. Maatalouden aloittamis- ja investointiavustukset(siirtomääräraha 3 v)</t>
  </si>
  <si>
    <t>41. Maaseutuelinkeinotoiminnan korkotuki(arviomääräraha)</t>
  </si>
  <si>
    <t>42. Luopumistuet ja -eläkkeet(siirtomääräraha 2 v)</t>
  </si>
  <si>
    <t>43. Eläinten hyvinvointikorvaukset (siirtomääräraha 3 v)</t>
  </si>
  <si>
    <t>44. Maatalouden toimintaedellytysten turvaaminen(siirtomääräraha 3 v)</t>
  </si>
  <si>
    <t>50. Valtionapu maaseudun elinkeinojen kehittämiseen(siirtomääräraha 3 v)</t>
  </si>
  <si>
    <t>51. Porotalouden edistäminen(siirtomääräraha 2 v)</t>
  </si>
  <si>
    <t>54. Hevostalouden edistäminen totopeleistä valtion osuutena kertyvillä varoilla(siirtomääräraha 2 v)</t>
  </si>
  <si>
    <t>55. Valtionapu 4H-toimintaan(siirtomääräraha 2 v)</t>
  </si>
  <si>
    <t>63. Maaseudun kehittäminen(siirtomääräraha 3 v)</t>
  </si>
  <si>
    <t>64. EU:n ja valtion rahoitusosuus alueelliseen ja paikalliseen maaseudun kehittämiseen(arviomääräraha)</t>
  </si>
  <si>
    <t>20. Maa- ja elintarviketalous</t>
  </si>
  <si>
    <t>02. Elintarviketurvallisuusviraston toimintamenot(siirtomääräraha 2 v)</t>
  </si>
  <si>
    <t>03. Maaseutuviraston toimintamenot(siirtomääräraha 2 v)</t>
  </si>
  <si>
    <t>20. Eläinlääkintähuolto ja kasvintuhoojien torjunta(arviomääräraha)</t>
  </si>
  <si>
    <t>40. Maa- ja puutarhatalouden kansallinen tuki(siirtomääräraha 2 v)</t>
  </si>
  <si>
    <t>41. EU-tulotuki ja EU-markkinatuki(arviomääräraha)</t>
  </si>
  <si>
    <t>42. Eräät korvaukset(siirtomääräraha 3 v)</t>
  </si>
  <si>
    <t>43. Ympäristökorvaukset, luonnonmukainen tuotanto, neuvonta ja ei-tuotannolliset investoinnit(siirtomääräraha 3 v)</t>
  </si>
  <si>
    <t>44. Luonnonhaittakorvaukset(siirtomääräraha 3 v)</t>
  </si>
  <si>
    <t>46. EU:n osarahoittama ruokaketjun kehittäminen(siirtomääräraha 3 v)</t>
  </si>
  <si>
    <t>47. Kansallinen ruokaketjun kehittäminen(siirtomääräraha 3 v)</t>
  </si>
  <si>
    <t>60. Siirto interventiorahastoon(kiinteä määräraha)</t>
  </si>
  <si>
    <t>61. Siirto Maatilatalouden kehittämisrahastoon(siirtomääräraha 3 v)</t>
  </si>
  <si>
    <t>62. Eräät valtionavut(siirtomääräraha 2 v)</t>
  </si>
  <si>
    <t>40. Luonnonvaratalous</t>
  </si>
  <si>
    <t>20. Kalakannan hoitovelvoitteet(siirtomääräraha 3 v)</t>
  </si>
  <si>
    <t>21. Vesivarojen käytön ja hoidon menot(siirtomääräraha 3 v)</t>
  </si>
  <si>
    <t>22. Luonnonvara- ja biotalouden edistäminen(siirtomääräraha 3 v)</t>
  </si>
  <si>
    <t>31. Vesi- ja kalataloushankkeiden tukeminen(siirtomääräraha 3 v)</t>
  </si>
  <si>
    <t>40. Eräät luonnonvaratalouden korvaukset(arviomääräraha)</t>
  </si>
  <si>
    <t>41. Hirvieläinten aiheuttamien vahinkojen korvaaminen(siirtomääräraha 3 v)</t>
  </si>
  <si>
    <t>42. Petoeläinten aiheuttamien vahinkojen korvaaminen(siirtomääräraha 2 v)</t>
  </si>
  <si>
    <t>44. Tuki puuntuotannon kestävyyden turvaamiseen(arviomääräraha)</t>
  </si>
  <si>
    <t>45. Metsäluonnon hoidon edistäminen(siirtomääräraha 3 v)</t>
  </si>
  <si>
    <t>46. Valtionapu Suomen metsäkeskukselle(siirtomääräraha 2 v)</t>
  </si>
  <si>
    <t>50. Riistatalouden edistäminen(siirtomääräraha 2 v)</t>
  </si>
  <si>
    <t>51. Kalatalouden edistäminen(siirtomääräraha 2 v)</t>
  </si>
  <si>
    <t>53. Eräät luonnonvaratalouden valtionavut(siirtomääräraha 2 v)</t>
  </si>
  <si>
    <t>62. Elinkeinokalatalouden edistäminen(siirtomääräraha 3 v)</t>
  </si>
  <si>
    <t>83. Lainat puuntuotannon kestävyyden turvaamiseen(siirtomääräraha 3 v)</t>
  </si>
  <si>
    <t>63. Metsähallitus</t>
  </si>
  <si>
    <t>50. Metsähallituksen eräät julkiset hallintotehtävät(siirtomääräraha 3 v)</t>
  </si>
  <si>
    <t>64. Metsähallitus 2016</t>
  </si>
  <si>
    <t>70. Maanmittaus ja tietovarannot</t>
  </si>
  <si>
    <t>01. Maanmittauslaitoksen toimintamenot(siirtomääräraha 2 v)</t>
  </si>
  <si>
    <t>40. Kiinteistötoimitusten tukemisesta aiheutuvat menot(arviomääräraha)</t>
  </si>
  <si>
    <t>31. LIIKENNE- JA VIESTINTÄMINISTERIÖN HALLINNONALA</t>
  </si>
  <si>
    <t>01. Hallinto ja toimialan yhteiset menot</t>
  </si>
  <si>
    <t>01. Liikenne- ja viestintäministeriön toimintamenot(siirtomääräraha 2 v)</t>
  </si>
  <si>
    <t>21. Liikenne- ja viestintäministeriön hallinnonalan tuottavuusmääräraha(siirtomääräraha 2 v)</t>
  </si>
  <si>
    <t>29. Liikenne- ja viestintäministeriön hallinnonalan arvonlisäveromenot(arviomääräraha)</t>
  </si>
  <si>
    <t>10. Liikenneverkko</t>
  </si>
  <si>
    <t>01. Liikenneviraston toimintamenot(siirtomääräraha 2 v)</t>
  </si>
  <si>
    <t>20. Perusväylänpito(siirtomääräraha 2 v)</t>
  </si>
  <si>
    <t>35. Valtionavustus länsimetron rakentamiseen(siirtomääräraha 3 v)</t>
  </si>
  <si>
    <t>41. Valtionavustus eräiden lentopaikkojen rakentamiseen ja ylläpitoon(siirtomääräraha 3 v)</t>
  </si>
  <si>
    <t>50. Valtionavustus yksityisten teiden kunnossapitoon ja parantamiseen(siirtomääräraha 3 v)</t>
  </si>
  <si>
    <t>76. Maa- ja vesialueiden hankinnat ja korvaukset(arviomääräraha)</t>
  </si>
  <si>
    <t>77. Väyläverkon kehittäminen(siirtomääräraha 3 v)</t>
  </si>
  <si>
    <t>78. Eräät väylähankkeet(siirtomääräraha 3 v)</t>
  </si>
  <si>
    <t>79. Elinkaarirahoitushankkeet(siirtomääräraha 3 v)</t>
  </si>
  <si>
    <t>20. Liikenteen viranomaispalvelut</t>
  </si>
  <si>
    <t>01. Liikenteen turvallisuusviraston toimintamenot(siirtomääräraha 2 v)</t>
  </si>
  <si>
    <t>30. Liikenteen tukeminen ja ostopalvelut</t>
  </si>
  <si>
    <t>42. Valtionavustus koulutuksesta(siirtomääräraha 3 v)</t>
  </si>
  <si>
    <t>43. Meriliikenteessä käytettävien alusten kilpailukyvyn parantaminen(arviomääräraha)</t>
  </si>
  <si>
    <t>51. Luotsauksen hintatuki(siirtomääräraha 2 v)</t>
  </si>
  <si>
    <t>63. Joukkoliikenteen palvelujen osto ja kehittäminen(siirtomääräraha 3 v)</t>
  </si>
  <si>
    <t>64. Saariston yhteysalusliikennepalvelujen ostot ja kehittäminen(siirtomääräraha 3 v)</t>
  </si>
  <si>
    <t>66. Yhteysalusliikennepalvelujen ostosopimukset(siirtomääräraha 3 v)</t>
  </si>
  <si>
    <t>40. Viestintäpalvelut ja -verkot sekä viestinnän tukeminen</t>
  </si>
  <si>
    <t>01. Viestintäviraston toimintamenot(siirtomääräraha 2 v)</t>
  </si>
  <si>
    <t>43. Digitaalisten palveluiden toimintaympäristön kehittäminen(siirtomääräraha 2 v)</t>
  </si>
  <si>
    <t>44. Median innovaatiotuki(siirtomääräraha 3 v)</t>
  </si>
  <si>
    <t>50. Valtionavustus valtakunnallisen laajakaistahankkeen toteuttamiseen(siirtomääräraha 3 v)</t>
  </si>
  <si>
    <t>60. Siirto valtion televisio- ja radiorahastoon(siirtomääräraha 3 v)</t>
  </si>
  <si>
    <t>50. Tutkimus</t>
  </si>
  <si>
    <t>01. Ilmatieteen laitoksen toimintamenot(siirtomääräraha 2 v)</t>
  </si>
  <si>
    <t>32. TYÖ- JA ELINKEINOMINISTERIÖN HALLINNONALA</t>
  </si>
  <si>
    <t>01. Työ- ja elinkeinoministeriön toimintamenot(siirtomääräraha 2 v)</t>
  </si>
  <si>
    <t>02. Elinkeino-, liikenne- ja ympäristökeskusten toimintamenot(siirtomääräraha 2 v)</t>
  </si>
  <si>
    <t>20. Siviilipalvelus(arviomääräraha)</t>
  </si>
  <si>
    <t>21. Työ- ja elinkeinoministeriön hallinnonalan tuottavuusmääräraha(siirtomääräraha 2 v)</t>
  </si>
  <si>
    <t>22. Talvivaara Sotkamo Oy:n konkurssin aiheuttamien ympäristövahinkojen estäminen(siirtomääräraha 2 v)</t>
  </si>
  <si>
    <t>29. Työ- ja elinkeinoministeriön hallinnonalan arvonlisäveromenot(arviomääräraha)</t>
  </si>
  <si>
    <t>40. Valtionavustus yritysten kansainvälistymiseen ja yrittäjyyden edistämiseen(siirtomääräraha 3 v)</t>
  </si>
  <si>
    <t>41. Erityisavustus Teknologian tutkimuskeskus VTT Oy:n tutkimusinfrastruktuuriin(arviomääräraha)</t>
  </si>
  <si>
    <t>42. Cleantech- ja biotalousratkaisujen sekä innovaatioiden kaupallistamisen tukeminen(siirtomääräraha 3 v)</t>
  </si>
  <si>
    <t>60. Siirrot hallinnonalan rahastoihin(arviomääräraha)</t>
  </si>
  <si>
    <t>66. Kansainvälisten järjestöjen jäsenmaksut ja rahoitusosuudet(siirtomääräraha 2 v)</t>
  </si>
  <si>
    <t>(88.) Teknologian tutkimuskeskus VTT Oy:n oman pääoman korottaminen(arviomääräraha)</t>
  </si>
  <si>
    <t>89. Osakehankinnat(siirtomääräraha 3 v)</t>
  </si>
  <si>
    <t>20. Elinkeino- ja innovaatiopolitiikka</t>
  </si>
  <si>
    <t>01. Geologian tutkimuskeskuksen toimintamenot(siirtomääräraha 2 v)</t>
  </si>
  <si>
    <t>06. Innovaatiorahoituskeskus Tekesin toimintamenot(siirtomääräraha 3 v)</t>
  </si>
  <si>
    <t>28. Materiaalitehokkuuden edistäminen(siirtomääräraha 3 v)</t>
  </si>
  <si>
    <t>40. Tutkimus-, kehittämis- ja innovaatiotoiminnan tukeminen(arviomääräraha)</t>
  </si>
  <si>
    <t>41. Valtionavustus Finpron toimintaan(siirtomääräraha 3 v)</t>
  </si>
  <si>
    <t>42. Innovaatiokeskittymien kehittäminen(siirtomääräraha 3 v)</t>
  </si>
  <si>
    <t>43. Kansainvälistymisavustus yritysten yhteishankkeisiin(arviomääräraha)</t>
  </si>
  <si>
    <t>47. Finnvera Oyj:n tappiokorvaukset(arviomääräraha)</t>
  </si>
  <si>
    <t>48. Korko- ja muu tuki julkisesti tuetuille vienti- ja alusluotoille(arviomääräraha)</t>
  </si>
  <si>
    <t>49. Valtionavustus Teknologian tutkimuskeskus VTT Oy:n toimintaan(siirtomääräraha 2 v)</t>
  </si>
  <si>
    <t>50. Avustus kansainvälisen teknologiapalkinnon maksamiseen(siirtomääräraha 2 v)</t>
  </si>
  <si>
    <t>80. Lainat Suomen Vientiluotto Oy:n jälleenrahoitustoimintaan(arviomääräraha)</t>
  </si>
  <si>
    <t>82. Lainat Finnvera Oyj:n varainhankintaan(arviomääräraha)</t>
  </si>
  <si>
    <t>83. Lainat tutkimus- ja innovaatiotoimintaan(arviomääräraha)</t>
  </si>
  <si>
    <t>87. Pääomalaina Finnvera Oyj:lle(siirtomääräraha 3 v)</t>
  </si>
  <si>
    <t>88. Pääomasijoitus Suomen Teollisuussijoitus Oy:lle(siirtomääräraha 3 v)</t>
  </si>
  <si>
    <t>89. Pääomasijoitus Tekes Pääomasijoitus Oy:lle(siirtomääräraha 3 v)</t>
  </si>
  <si>
    <t>30. Työllisyys- ja yrittäjyyspolitiikka</t>
  </si>
  <si>
    <t>01. Työ- ja elinkeinotoimistojen toimintamenot(siirtomääräraha 2 v)</t>
  </si>
  <si>
    <t>44. Alueellinen kuljetustuki(siirtomääräraha 3 v)</t>
  </si>
  <si>
    <t>45. Yritysten kehittämishankkeiden tukeminen(arviomääräraha)</t>
  </si>
  <si>
    <t>51. Julkiset työvoima- ja yrityspalvelut(siirtomääräraha 2 v)</t>
  </si>
  <si>
    <t>64. Työllisyysperusteiset siirtomenot investointeihin(arviomääräraha)</t>
  </si>
  <si>
    <t>40. Yritysten toimintaympäristö, markkinoiden sääntely ja työelämä</t>
  </si>
  <si>
    <t>01. Kilpailu- ja kuluttajaviraston toimintamenot(siirtomääräraha 2 v)</t>
  </si>
  <si>
    <t>03. Patentti- ja rekisterihallituksen toimintamenot(siirtomääräraha 3 v)</t>
  </si>
  <si>
    <t>05. Turvallisuus- ja kemikaaliviraston toimintamenot(siirtomääräraha 2 v)</t>
  </si>
  <si>
    <t>31. Korvaus talous- ja velkaneuvonnan järjestämisestä(siirtomääräraha 2 v)</t>
  </si>
  <si>
    <t>50. Valtionavustus kuluttajajärjestölle(kiinteä määräraha)</t>
  </si>
  <si>
    <t>51. Eräät merimiespalvelut(arviomääräraha)</t>
  </si>
  <si>
    <t>52. Palkkaturva(arviomääräraha)</t>
  </si>
  <si>
    <t>95. Eräät oikeudenkäyntikulut ja korvaukset(arviomääräraha)</t>
  </si>
  <si>
    <t>50. Alueiden kehittäminen ja rakennerahastopolitiikka</t>
  </si>
  <si>
    <t>40. Alueellisten innovaatioiden ja kokeilujen käynnistäminen(siirtomääräraha 3 v)</t>
  </si>
  <si>
    <t>64. EU:n ja valtion rahoitusosuus EU:n rakennerahasto-, ulkorajayhteistyö- ja muihin koheesiopolitiikan ohjelmiin(arviomääräraha)</t>
  </si>
  <si>
    <t>60. Energiapolitiikka</t>
  </si>
  <si>
    <t>01. Energiaviraston toimintamenot(siirtomääräraha 2 v)</t>
  </si>
  <si>
    <t>40. Energiatuki(arviomääräraha)</t>
  </si>
  <si>
    <t>41. LNG-terminaalien investointituki(arviomääräraha)</t>
  </si>
  <si>
    <t>42. Valtiontuki sähköhuollon varmistamiseksi(arviomääräraha)</t>
  </si>
  <si>
    <t>43. Kioton mekanismit(arviomääräraha)</t>
  </si>
  <si>
    <t>44. Uusiutuvan energian tuotantotuki(arviomääräraha)</t>
  </si>
  <si>
    <t>45. Uusiutuvan energian ja uuden energiateknologian investointituki(siirtomääräraha 3 v)</t>
  </si>
  <si>
    <t>87. Osakehankinnat(siirtomääräraha 3 v)</t>
  </si>
  <si>
    <t>70. Kotouttaminen</t>
  </si>
  <si>
    <t>03. Maahanmuuttajien kotoutumisen ja työllistymisen edistäminen(siirtomääräraha 2 v)</t>
  </si>
  <si>
    <t>30. Valtion korvaukset kunnille(arviomääräraha)</t>
  </si>
  <si>
    <t>33. SOSIAALI- JA TERVEYSMINISTERIÖN HALLINNONALA</t>
  </si>
  <si>
    <t>01. Sosiaali- ja terveysministeriön toimintamenot(siirtomääräraha 2 v)</t>
  </si>
  <si>
    <t>02. Työttömyysturvan muutoksenhakulautakunnan toimintamenot(siirtomääräraha 2 v)</t>
  </si>
  <si>
    <t>03. Sosiaaliturvan muutoksenhakulautakunnan toimintamenot(siirtomääräraha 2 v)</t>
  </si>
  <si>
    <t>04. Valtion mielisairaaloiden toimintamenot(siirtomääräraha 2 v)</t>
  </si>
  <si>
    <t>05. Terveyden ja hyvinvoinnin laitoksen alaisten lastensuojeluyksiköiden toimintamenot(siirtomääräraha 2 v)</t>
  </si>
  <si>
    <t>06. Terveyden ja hyvinvoinnin laitoksen alaisen vankiterveydenhuollon yksikön toimintamenot(siirtomääräraha 2 v)</t>
  </si>
  <si>
    <t>25. Sosiaali- ja terveydenhuollon kansalliset sähköiset asiakastietojärjestelmät(siirtomääräraha 3 v)</t>
  </si>
  <si>
    <t>29. Sosiaali- ja terveysministeriön hallinnonalan arvonlisäveromenot(arviomääräraha)</t>
  </si>
  <si>
    <t>66. Kansainväliset jäsenmaksut ja maksuosuudet(siirtomääräraha 2 v)</t>
  </si>
  <si>
    <t>02. Valvonta</t>
  </si>
  <si>
    <t>03. Säteilyturvakeskuksen toimintamenot(siirtomääräraha 2 v)</t>
  </si>
  <si>
    <t>05. Sosiaali- ja terveysalan lupa- ja valvontaviraston toimintamenot(siirtomääräraha 2 v)</t>
  </si>
  <si>
    <t>06. Lääkealan turvallisuus- ja kehittämiskeskuksen toimintamenot(siirtomääräraha 2 v)</t>
  </si>
  <si>
    <t>07. Työsuojelun aluehallintoviranomaisten toimintamenot(siirtomääräraha 2 v)</t>
  </si>
  <si>
    <t>20. Oikeuslääketieteellisen kuolemansyyn selvittämisen menot(arviomääräraha)</t>
  </si>
  <si>
    <t>03. Tutkimus- ja kehittämistoiminta</t>
  </si>
  <si>
    <t>04. Terveyden ja hyvinvoinnin laitoksen toimintamenot(siirtomääräraha 2 v)</t>
  </si>
  <si>
    <t>31. Hyvinvoinnin ja terveyden edistäminen(siirtomääräraha 3 v)</t>
  </si>
  <si>
    <t>50. Valtionapu Työterveyslaitoksen menoihin(siirtomääräraha 2 v)</t>
  </si>
  <si>
    <t>63. Eräät erityishankkeet(siirtomääräraha 3 v)</t>
  </si>
  <si>
    <t>10. Perhe- ja asumiskustannusten tasaus ja eräät palvelut</t>
  </si>
  <si>
    <t>50. Äitiysavustus ja valtion tuki kansainväliseen adoptioon(arviomääräraha)</t>
  </si>
  <si>
    <t>51. Lapsilisät(arviomääräraha)</t>
  </si>
  <si>
    <t>52. Eräät valtion korvattavat perhe-etuudet(arviomääräraha)</t>
  </si>
  <si>
    <t>53. Sotilasavustus(arviomääräraha)</t>
  </si>
  <si>
    <t>54. Asumistuki(arviomääräraha)</t>
  </si>
  <si>
    <t>55. Elatustuki(arviomääräraha)</t>
  </si>
  <si>
    <t>56. Vaikeavammaisten tulkkauspalvelut(arviomääräraha)</t>
  </si>
  <si>
    <t>60. Kansaneläkelaitoksen sosiaaliturvarahastojen toimintakulut(siirtomääräraha 2 v)</t>
  </si>
  <si>
    <t>20. Työttömyysturva</t>
  </si>
  <si>
    <t>31. Valtion korvaus kunnille kuntouttavan työtoiminnan järjestämisestä(arviomääräraha)</t>
  </si>
  <si>
    <t>50. Valtionosuus ansiopäivärahasta(arviomääräraha)</t>
  </si>
  <si>
    <t>51. Valtionosuus peruspäivärahasta(arviomääräraha)</t>
  </si>
  <si>
    <t>52. Valtionosuus työmarkkinatuesta(arviomääräraha)</t>
  </si>
  <si>
    <t>55. Valtionosuus aikuiskoulutustuesta(arviomääräraha)</t>
  </si>
  <si>
    <t>56. Valtionosuus vuorottelukorvauksesta(arviomääräraha)</t>
  </si>
  <si>
    <t>30. Sairausvakuutus</t>
  </si>
  <si>
    <t>60. Valtion osuus sairausvakuutuslaista johtuvista menoista(arviomääräraha)</t>
  </si>
  <si>
    <t>40. Eläkkeet</t>
  </si>
  <si>
    <t>50. Valtion osuus merimieseläkekassan menoista(arviomääräraha)</t>
  </si>
  <si>
    <t>51. Valtion osuus maatalousyrittäjän eläkelaista johtuvista menoista(arviomääräraha)</t>
  </si>
  <si>
    <t>52. Valtion osuus yrittäjän eläkelaista johtuvista menoista(arviomääräraha)</t>
  </si>
  <si>
    <t>53. Valtion korvaus lapsen hoidon ja opiskelun ajalta kertyvästä eläkkeestä(arviomääräraha)</t>
  </si>
  <si>
    <t>54. Valtion osuus maatalousyrittäjien tapaturmavakuutuksen kustannuksista(arviomääräraha)</t>
  </si>
  <si>
    <t>60. Valtion osuus kansaneläkelaista ja eräistä muista laeista johtuvista menoista(arviomääräraha)</t>
  </si>
  <si>
    <t>50. Veteraanien tukeminen</t>
  </si>
  <si>
    <t>30. Valtion korvaus sodista kärsineiden huoltoon(arviomääräraha)</t>
  </si>
  <si>
    <t>50. Rintamalisät(arviomääräraha)</t>
  </si>
  <si>
    <t>51. Sotilasvammakorvaukset(arviomääräraha)</t>
  </si>
  <si>
    <t>52. Valtion korvaus sota- ja sotilasinvalidien kuntoutus- ja hoitolaitosten kustannuksiin(siirtomääräraha 2 v)</t>
  </si>
  <si>
    <t>53. Valtionapu sotainvalidien puolisoiden kuntoutustoimintaan(siirtomääräraha 2 v)</t>
  </si>
  <si>
    <t>54. Rintama-avustus eräille ulkomaalaisille vapaaehtoisille rintamasotilaille(siirtomääräraha 2 v)</t>
  </si>
  <si>
    <t>55. Eräät kuntoutustoiminnan menot(siirtomääräraha 2 v)</t>
  </si>
  <si>
    <t>56. Rintamaveteraanien kuntoutustoiminnan menot(siirtomääräraha 2 v)</t>
  </si>
  <si>
    <t>57. Valtionapu rintamaveteraanien kuntoutustoimintaan(siirtomääräraha 2 v)</t>
  </si>
  <si>
    <t>60. Kuntien järjestämä sosiaali- ja terveydenhuolto</t>
  </si>
  <si>
    <t>30. Valtion korvaus terveydenhuollon valtakunnallisen valmiuden kustannuksiin(siirtomääräraha 3 v)</t>
  </si>
  <si>
    <t>31. Sosiaali- ja terveydenhuollon palvelurakenneuudistuksen tuki ja eräät muut menot(siirtomääräraha 3 v)</t>
  </si>
  <si>
    <t>32. Valtion rahoitus terveydenhuollon yksiköille yliopistotasoiseen tutkimukseen(kiinteä määräraha)</t>
  </si>
  <si>
    <t>33. Valtion korvaus terveydenhuollon yksiköille lääkäri- ja hammaslääkärikoulutuksesta aiheutuviin kustannuksiin(arviomääräraha)</t>
  </si>
  <si>
    <t>34. Valtion korvaus terveydenhuollon toimintayksiköille oikeuspsykiatrisista tutkimuksista sekä potilassiirroista aiheutuviin kustannuksiin(arviomääräraha)</t>
  </si>
  <si>
    <t>35. Valtionosuus kunnille perustoimeentulotuen kustannuksiin(arviomääräraha)</t>
  </si>
  <si>
    <t>36. Valtionavustus saamenkielisten sosiaali- ja terveyspalvelujen turvaamiseksi(kiinteä määräraha)</t>
  </si>
  <si>
    <t>40. Valtion rahoitus lääkäri- ja lääkintähelikopteritoiminnan menoihin(siirtomääräraha 3 v)</t>
  </si>
  <si>
    <t>50. Valtionavustus valtakunnallista julkista terveydenhoitoa antavan lastensairaalan perustamiskustannuksiin(siirtomääräraha 2 v)</t>
  </si>
  <si>
    <t>52. Valtion rahoitus turvakotitoiminnan menoihin(siirtomääräraha 2 v)</t>
  </si>
  <si>
    <t>63. Valtionavustus sosiaalialan osaamiskeskusten toimintaan(kiinteä määräraha)</t>
  </si>
  <si>
    <t>64. Valtion korvaus rikosasioiden sovittelun järjestämisen kustannuksiin(siirtomääräraha 3 v)</t>
  </si>
  <si>
    <t>70. Terveyden ja toimintakyvyn edistäminen</t>
  </si>
  <si>
    <t>20. Rokotteiden hankinta(siirtomääräraha 3 v)</t>
  </si>
  <si>
    <t>21. Terveysvalvonta(siirtomääräraha 2 v)</t>
  </si>
  <si>
    <t>22. Tartuntatautien valvonta(siirtomääräraha 2 v)</t>
  </si>
  <si>
    <t>50. Terveyden edistäminen(siirtomääräraha 3 v)</t>
  </si>
  <si>
    <t>51. Valtion korvaus työterveyshuollon erikoislääkärikoulutuksesta aiheutuviin kustannuksiin(siirtomääräraha 3 v)</t>
  </si>
  <si>
    <t>52. Valtionavustus UKK-instituutin toimintaan(siirtomääräraha 2 v)</t>
  </si>
  <si>
    <t>80. Maatalousyrittäjien ja turkistuottajien lomitustoiminta</t>
  </si>
  <si>
    <t>40. Valtion korvaus maatalousyrittäjien lomituspalvelujen kustannuksiin(arviomääräraha)</t>
  </si>
  <si>
    <t>41. Valtion korvaus turkistuottajien lomituspalvelujen kustannuksiin(siirtomääräraha 2 v)</t>
  </si>
  <si>
    <t>42. Valtion korvaus poronhoitajien sijaisavun kustannuksiin(siirtomääräraha 2 v)</t>
  </si>
  <si>
    <t>50. Valtion korvaus maatalousyrittäjien ja turkistuottajien lomituspalvelujen hallintomenoihin(kiinteä määräraha)</t>
  </si>
  <si>
    <t>90. Raha-automaattiavustukset</t>
  </si>
  <si>
    <t>50. Avustukset yhteisöille ja säätiöille terveyden ja sosiaalisen hyvinvoinnin edistämiseen(arviomääräraha)</t>
  </si>
  <si>
    <t>35. YMPÄRISTÖMINISTERIÖN HALLINNONALA</t>
  </si>
  <si>
    <t>01. Ympäristöhallinnon toimintamenot</t>
  </si>
  <si>
    <t>01. Ympäristöministeriön toimintamenot(siirtomääräraha 2 v)</t>
  </si>
  <si>
    <t>04. Suomen ympäristökeskuksen toimintamenot(siirtomääräraha 2 v)</t>
  </si>
  <si>
    <t>29. Ympäristöministeriön hallinnonalan arvonlisäveromenot(arviomääräraha)</t>
  </si>
  <si>
    <t>65. Avustukset järjestöille ja ympäristönhoitoon(siirtomääräraha 3 v)</t>
  </si>
  <si>
    <t>10. Ympäristön- ja luonnonsuojelu</t>
  </si>
  <si>
    <t>20. Ympäristövahinkojen torjunta(arviomääräraha)</t>
  </si>
  <si>
    <t>21. Eräät luonnonsuojelun menot(siirtomääräraha 3 v)</t>
  </si>
  <si>
    <t>22. Eräät ympäristömenot(siirtomääräraha 3 v)</t>
  </si>
  <si>
    <t>52. Metsähallituksen julkiset hallintotehtävät(siirtomääräraha 3 v)</t>
  </si>
  <si>
    <t>60. Siirto öljysuojarahastoon(siirtomääräraha 3 v)</t>
  </si>
  <si>
    <t>61. Vesien- ja ympäristönhoidon edistäminen(siirtomääräraha 3 v)</t>
  </si>
  <si>
    <t>63. Luonnonsuojelualueiden hankinta- ja korvausmenot(siirtomääräraha 3 v)</t>
  </si>
  <si>
    <t>64. EU:n ympäristörahaston osallistuminen ympäristö- ja luonnonsuojeluhankkeisiin(siirtomääräraha 3 v)</t>
  </si>
  <si>
    <t>65. Öljyjätemaksulla rahoitettava öljyjätehuolto(siirtomääräraha 3 v)</t>
  </si>
  <si>
    <t>66. Kansainvälisen yhteistyön jäsenmaksut ja rahoitusosuudet(siirtomääräraha 2 v)</t>
  </si>
  <si>
    <t>70. Alusinvestoinnit(siirtomääräraha 3 v)</t>
  </si>
  <si>
    <t>20. Yhdyskunnat, rakentaminen ja asuminen</t>
  </si>
  <si>
    <t>01. Asumisen rahoitus- ja kehittämiskeskuksen toimintamenot(siirtomääräraha 2 v)</t>
  </si>
  <si>
    <t>02. Rakennetun ympäristön ja rakentamisen digitalisaatio(siirtomääräraha 3 v)</t>
  </si>
  <si>
    <t>55. Avustukset korjaustoimintaan(siirtomääräraha 3 v)</t>
  </si>
  <si>
    <t>60. Siirto valtion asuntorahastoon</t>
  </si>
  <si>
    <t>64. Avustukset rakennusperinnön hoitoon(siirtomääräraha 3 v)</t>
  </si>
  <si>
    <t>36. VALTIONVELAN KOROT</t>
  </si>
  <si>
    <t>01. Valtionvelan korko</t>
  </si>
  <si>
    <t>90. Valtionvelan korko(arviomääräraha)</t>
  </si>
  <si>
    <t>09. Muut menot valtionvelasta</t>
  </si>
  <si>
    <t>20. Palkkiot ja muut menot valtionvelasta(arviomääräraha)</t>
  </si>
  <si>
    <t>Tulot</t>
  </si>
  <si>
    <t>Menot</t>
  </si>
  <si>
    <t>EU</t>
  </si>
  <si>
    <t>T</t>
  </si>
  <si>
    <t>Valtion työntekijät (2015) http://vm.fi/valtio-tyonantajana/valtion-henkilosto-tilastoina</t>
  </si>
  <si>
    <t>Keskipalkat (2015) http://www.iltalehti.fi/tyoelama/2016051221550491_tb.shtml</t>
  </si>
  <si>
    <t>Kunnat</t>
  </si>
  <si>
    <t>Yksityinen</t>
  </si>
  <si>
    <t>Tulovero (2015)</t>
  </si>
  <si>
    <t>Kiinteistövero (2015)</t>
  </si>
  <si>
    <t>www.veronmaksajat.fi/luvut/Tilastot/Verotuotot/</t>
  </si>
  <si>
    <t>Kunnallisvero (2015) www.veronmaksajat.fi/luvut/Tilastot/Kunnat/Kunnallisvero/</t>
  </si>
  <si>
    <t>www.veronmaksajat.fi/luvut/Laskelmat/</t>
  </si>
  <si>
    <t>www.tilastokeskus.fi/til/pra/2015/pra_2015_2016-09-29_tie_001_fi.html</t>
  </si>
  <si>
    <t>Alaikäisiä</t>
  </si>
  <si>
    <t>Valtion työntekijöitä</t>
  </si>
  <si>
    <t>Kuntien työntekijöitä</t>
  </si>
  <si>
    <t>Yksityisiä työntekijöitä</t>
  </si>
  <si>
    <t>Työläisiä</t>
  </si>
  <si>
    <t>Opiskelijoita</t>
  </si>
  <si>
    <t>Opettajia</t>
  </si>
  <si>
    <t>Lääkäreitä</t>
  </si>
  <si>
    <t>Hoitajia</t>
  </si>
  <si>
    <t>Poliiseja</t>
  </si>
  <si>
    <t>Palokuntaa</t>
  </si>
  <si>
    <t>Lastenhoitajia</t>
  </si>
  <si>
    <t>Alle kouluikäisiä</t>
  </si>
  <si>
    <t>YLE</t>
  </si>
  <si>
    <t>k</t>
  </si>
  <si>
    <t>o</t>
  </si>
  <si>
    <t>y</t>
  </si>
  <si>
    <t>a</t>
  </si>
  <si>
    <t>v</t>
  </si>
  <si>
    <t>t</t>
  </si>
  <si>
    <t>u</t>
  </si>
  <si>
    <t>n</t>
  </si>
  <si>
    <t>Kansanedustajia</t>
  </si>
  <si>
    <t>Hinta/kansalainen</t>
  </si>
  <si>
    <t>Hinta/työntekijä</t>
  </si>
  <si>
    <t>Hinta/nettoveronmaksaja</t>
  </si>
  <si>
    <t>http://vm.fi/valtio-tyonantajana/valtion-henkilosto-tilastoina</t>
  </si>
  <si>
    <t>Hallinto</t>
  </si>
  <si>
    <t>Talous</t>
  </si>
  <si>
    <t>Perheitä</t>
  </si>
  <si>
    <t>Eläkeläisiä</t>
  </si>
  <si>
    <t>e</t>
  </si>
  <si>
    <t>Peruskoululaisia</t>
  </si>
  <si>
    <t>p</t>
  </si>
  <si>
    <t>Lukiolaisia</t>
  </si>
  <si>
    <t>Palomiehiä</t>
  </si>
  <si>
    <t>Kuitti</t>
  </si>
  <si>
    <t>Eduskunta</t>
  </si>
  <si>
    <t>Tasavallan presidentti</t>
  </si>
  <si>
    <t>Ulkoministeriö</t>
  </si>
  <si>
    <t>Sisäministeriö</t>
  </si>
  <si>
    <t>Puolustusministeriö</t>
  </si>
  <si>
    <t>Valtionvarainministeriö</t>
  </si>
  <si>
    <t>Maa- ja metästalousministeriö</t>
  </si>
  <si>
    <t>Liikenne- ja viestintäministeriö</t>
  </si>
  <si>
    <t>Ympäristöministeriö</t>
  </si>
  <si>
    <t>Valtion velan korot</t>
  </si>
  <si>
    <t>Terveysvakuutus</t>
  </si>
  <si>
    <t>170-290-625 vuodessa</t>
  </si>
  <si>
    <t>Lukukausimaksu, yliopisto, suomi</t>
  </si>
  <si>
    <t>Sairaanhoitajia</t>
  </si>
  <si>
    <t>Rajavartioita</t>
  </si>
  <si>
    <t>http://www.suomi.fi/suomifi/suomi/valtio_ja_kunnat/valtion_hallintojarjestelma/</t>
  </si>
  <si>
    <t>Tulovero</t>
  </si>
  <si>
    <t>Työntekijöitä</t>
  </si>
  <si>
    <t>Laitteet</t>
  </si>
  <si>
    <t>Yhteensä</t>
  </si>
  <si>
    <t>Valtion maksut</t>
  </si>
  <si>
    <t>Tilat/kalusteet</t>
  </si>
  <si>
    <t>Äänioikeutettuja</t>
  </si>
  <si>
    <t>Eduskuntavaalit</t>
  </si>
  <si>
    <t>Julkiset</t>
  </si>
  <si>
    <t>Valtion hallinto</t>
  </si>
  <si>
    <t>YHTEENSÄ</t>
  </si>
  <si>
    <t>Suomen hallinto maksaa siis yli 800 €/kk, eli 10000 € vuodessa, jokaista kansalaista kohden, myös lapsia kohden. Onko hinta mielestäsi kohtuullinen?</t>
  </si>
  <si>
    <t>Ja totuus on se, että työläisiä on vain noin puolet koko kansasta. Heille hinta on siis n. 1600 €/kk, tai 20000 € vuodessa. Onko hinta kohtuullinen?</t>
  </si>
  <si>
    <t>Sosiaali- ja terveyskulut ovat n. 200 €/kk. Sillä hinnalla saisi aika hyvän sairasvakuutuksen ja hoidon yksityisellä puolella. Miten hinta voi siis olla noin kova?</t>
  </si>
  <si>
    <t>Valtionvarainministeriölle maksetaan 264 €/kk. Mistä hyvästä?</t>
  </si>
  <si>
    <t>Koulutus on tärkeää ja maksaa 103 €/kk. Tämäkin kuulostaa paljolta, mutta ei ehkä täysin vailla hyviä perusteita.</t>
  </si>
  <si>
    <t>Valtion velan korkoja maksetaan yli 23 €/kk. Haluaisitko käyttää tuon rahan mielummin johonkin muuhun?</t>
  </si>
  <si>
    <t>Yhteiskuntajärjestys</t>
  </si>
  <si>
    <t>Koulutus</t>
  </si>
  <si>
    <t>Terveys</t>
  </si>
  <si>
    <t>Ympäristö</t>
  </si>
  <si>
    <t>Laki ja oikeus</t>
  </si>
  <si>
    <t>Valtion talous</t>
  </si>
  <si>
    <t>Puolustusvoimat</t>
  </si>
  <si>
    <t>Terveydenhuolto</t>
  </si>
  <si>
    <t>Tuomarit ja lakimiehet</t>
  </si>
  <si>
    <t>Talouden hoitajat</t>
  </si>
  <si>
    <t>Presidentti ja eduskunta</t>
  </si>
  <si>
    <t>Rajavartiat, puolustusvoimien työntekijät</t>
  </si>
  <si>
    <t>Lääkärit ja hoitajat</t>
  </si>
  <si>
    <t>Opettajat</t>
  </si>
  <si>
    <t>Koulut, laitteet</t>
  </si>
  <si>
    <t>Henkilökulut</t>
  </si>
  <si>
    <t>Materiaalikulut</t>
  </si>
  <si>
    <t>Eduskuntatalo, presidentin asunto</t>
  </si>
  <si>
    <t>Toimistot</t>
  </si>
  <si>
    <t>Rakennukset, laitteet</t>
  </si>
  <si>
    <t>Tulov</t>
  </si>
  <si>
    <t>YHT</t>
  </si>
  <si>
    <t>EU jäsenmaksu</t>
  </si>
  <si>
    <t>Turvallisuus</t>
  </si>
  <si>
    <t>Poliisit ja palomiehet</t>
  </si>
  <si>
    <t>Toimistot, kalusto</t>
  </si>
  <si>
    <t>Muut tulot ja maksut</t>
  </si>
  <si>
    <t>Nettolainanotto</t>
  </si>
  <si>
    <t>Rakennukset ja laitteet</t>
  </si>
  <si>
    <t>Rakennukset</t>
  </si>
  <si>
    <t>Aseet</t>
  </si>
  <si>
    <t xml:space="preserve">Väylät ja muut yhteydet </t>
  </si>
  <si>
    <t>Palkkatulo</t>
  </si>
  <si>
    <t>Vero</t>
  </si>
  <si>
    <t>Vanha %</t>
  </si>
  <si>
    <t>Vanha netto</t>
  </si>
  <si>
    <t>Kansalaispalkka kaikille peruskoulun käynneille</t>
  </si>
  <si>
    <t>Kiinteistövero pois</t>
  </si>
  <si>
    <t>Asunnon hinta</t>
  </si>
  <si>
    <t>Verohyöty</t>
  </si>
  <si>
    <t>Arvioitu veroprosentti</t>
  </si>
  <si>
    <t>Laina</t>
  </si>
  <si>
    <t>Tuloveroetu</t>
  </si>
  <si>
    <t>Kiinteistöveroetu</t>
  </si>
  <si>
    <t>Kokonaisetu</t>
  </si>
  <si>
    <t>Nettovero %</t>
  </si>
  <si>
    <t xml:space="preserve">korko </t>
  </si>
  <si>
    <t>Tilat</t>
  </si>
  <si>
    <t>Kulut vuodessa</t>
  </si>
  <si>
    <t>Hallinnonala</t>
  </si>
  <si>
    <t>Henkilöä/kansalainen</t>
  </si>
  <si>
    <t>Muut kulut</t>
  </si>
  <si>
    <t>Kansalaispalkka</t>
  </si>
  <si>
    <t>EU jäsenmaksut</t>
  </si>
  <si>
    <t>Väylät ja muut yhteydet</t>
  </si>
  <si>
    <t>Työkyvyttömät</t>
  </si>
  <si>
    <t>Rakennukset ja kalusto</t>
  </si>
  <si>
    <t>Arvonlisäveroetu</t>
  </si>
  <si>
    <t>Osuus Budjetista</t>
  </si>
  <si>
    <t>Kirjastot</t>
  </si>
  <si>
    <t>Urheilu ja kulttuuripaikat</t>
  </si>
  <si>
    <t>Kansanedustajat</t>
  </si>
  <si>
    <t>Eduskuntatalo</t>
  </si>
  <si>
    <t>Presidentti</t>
  </si>
  <si>
    <t>Presidentin asunto</t>
  </si>
  <si>
    <t>Poliisit</t>
  </si>
  <si>
    <t>Palomiehet</t>
  </si>
  <si>
    <t>Kalusto</t>
  </si>
  <si>
    <t>Rajavartijat</t>
  </si>
  <si>
    <t>Henkilökunta</t>
  </si>
  <si>
    <t>01. EDUSKUNTA</t>
  </si>
  <si>
    <t>02. TASAVALLAN PRESIDENTTI</t>
  </si>
  <si>
    <t>03. OIKEUSMINISTERIÖ</t>
  </si>
  <si>
    <t>04. SISÄMINISTERIÖ</t>
  </si>
  <si>
    <t>Osuus</t>
  </si>
  <si>
    <t>05. ULKOMINISTERIÖ</t>
  </si>
  <si>
    <t>06. PUOLUSTUSMINISTERIÖ</t>
  </si>
  <si>
    <t>07. VALTIOVARAINMINISTERIÖ</t>
  </si>
  <si>
    <t>08. OPETUSMINISTERIÖ</t>
  </si>
  <si>
    <t>09. SOSIAALI- JA TERVEYSMINISTERIÖ</t>
  </si>
  <si>
    <t>10. YMPÄRISTÖMINISTERIÖ (Rakennettu ja luonnonympäristö)</t>
  </si>
  <si>
    <t>11. MUUT KULUT</t>
  </si>
  <si>
    <t>Kiinteä tulovero</t>
  </si>
  <si>
    <t>Valtion velka</t>
  </si>
  <si>
    <t>ALV + Yhteisövero + korkotulot</t>
  </si>
  <si>
    <t>Kouluruoka</t>
  </si>
  <si>
    <t>Työntekijät</t>
  </si>
  <si>
    <t>Työ ja elinekeino</t>
  </si>
  <si>
    <t>Liikenne- ja viestintä</t>
  </si>
  <si>
    <t>Maa- ja metästalous</t>
  </si>
  <si>
    <t>Hätäkeskus</t>
  </si>
  <si>
    <t>Maahanmuuttovirasto</t>
  </si>
  <si>
    <t>Lääkärit</t>
  </si>
  <si>
    <t>Hoitajat</t>
  </si>
  <si>
    <t>ok</t>
  </si>
  <si>
    <t>Huolto</t>
  </si>
  <si>
    <t>Pienituloisia</t>
  </si>
  <si>
    <t>Kansalaispalkka (vanha)</t>
  </si>
  <si>
    <t>Kansalaista kohden</t>
  </si>
  <si>
    <t>Yhteensäs vuodessa</t>
  </si>
  <si>
    <t>2016 BUDJETTI</t>
  </si>
  <si>
    <t>Valtion velan kerroin</t>
  </si>
  <si>
    <t>Nettopalkka</t>
  </si>
  <si>
    <t>http://tilastokeskus.fi/tup/suoluk/suoluk_tulot.html</t>
  </si>
  <si>
    <t>Tulot ja kulutus</t>
  </si>
  <si>
    <t>Tulonsaajat 1) tuloluokittain 2015</t>
  </si>
  <si>
    <t>Tuloluokka, €</t>
  </si>
  <si>
    <t>Tulonsaajia</t>
  </si>
  <si>
    <t>Valtionveron-</t>
  </si>
  <si>
    <t>Tulojen</t>
  </si>
  <si>
    <t>Verot</t>
  </si>
  <si>
    <t>Verojen</t>
  </si>
  <si>
    <t>alaiset tulot</t>
  </si>
  <si>
    <t>%–jakauma</t>
  </si>
  <si>
    <t> </t>
  </si>
  <si>
    <t>Milj. €</t>
  </si>
  <si>
    <t>            – 4 999</t>
  </si>
  <si>
    <t>   5 000 – 9 999</t>
  </si>
  <si>
    <t>10 000 – 14 999</t>
  </si>
  <si>
    <t>15 000 – 19 999</t>
  </si>
  <si>
    <t>20 000 – 24 999</t>
  </si>
  <si>
    <t>25 000 – 29 999</t>
  </si>
  <si>
    <t>30 000 – 34 999</t>
  </si>
  <si>
    <t>35 000 – 39 999</t>
  </si>
  <si>
    <t>40 000 – 49 999</t>
  </si>
  <si>
    <t>50 000 – 59 999</t>
  </si>
  <si>
    <t>60 000 – 79 999</t>
  </si>
  <si>
    <t>80 000 – 99 999</t>
  </si>
  <si>
    <t>100 000 – </t>
  </si>
  <si>
    <t>Suluissa vanha luku</t>
  </si>
  <si>
    <t>Väylien kustannukset</t>
  </si>
  <si>
    <t>Yle</t>
  </si>
  <si>
    <t>ALV-etu</t>
  </si>
  <si>
    <t>Bruttopalkka</t>
  </si>
  <si>
    <t>https://yle.fi/uutiset/3-9223672</t>
  </si>
  <si>
    <t>http://www.kela.fi/ajankohtaista-henkiloasiakkaat/-/asset_publisher/kg5xtoqDw6Wf/content/muutoksia-kelan-etuuksiin-vuonna-2017?_101_INSTANCE_kg5xtoqDw6Wf_redirect=/ajankohtaista-henkiloasiakkaat</t>
  </si>
  <si>
    <t>Palkkakulut</t>
  </si>
  <si>
    <t>Vanha nettotulo</t>
  </si>
  <si>
    <t>Uusi palkka</t>
  </si>
  <si>
    <t>Vanha palkka</t>
  </si>
  <si>
    <t>Palkkavastaavuudet</t>
  </si>
  <si>
    <t>Valtion velan maksu</t>
  </si>
  <si>
    <t>1/Kansalainen</t>
  </si>
  <si>
    <t>Kustannus</t>
  </si>
  <si>
    <t>Työntekijöiden määrä</t>
  </si>
  <si>
    <t xml:space="preserve"> Alle kouluikäinen</t>
  </si>
  <si>
    <t xml:space="preserve"> Peruskoululainen</t>
  </si>
  <si>
    <t xml:space="preserve"> Opiskelija</t>
  </si>
  <si>
    <t xml:space="preserve"> Työtön</t>
  </si>
  <si>
    <t>Tuet</t>
  </si>
  <si>
    <t>Ammattikoulu</t>
  </si>
  <si>
    <t>Päivähoidon määrä</t>
  </si>
  <si>
    <t>Tilat, laitteet</t>
  </si>
  <si>
    <t>Alle kouluikäinen</t>
  </si>
  <si>
    <t>Peruskoululainen</t>
  </si>
  <si>
    <t>2 asteen opiskelija</t>
  </si>
  <si>
    <t>Opiskelija</t>
  </si>
  <si>
    <t>Työtön</t>
  </si>
  <si>
    <t>Työkyvytön</t>
  </si>
  <si>
    <t>Kansanedustaja</t>
  </si>
  <si>
    <t>Virkamies</t>
  </si>
  <si>
    <t>Hoitaja</t>
  </si>
  <si>
    <t>Päivähoito</t>
  </si>
  <si>
    <t>Opetus</t>
  </si>
  <si>
    <t>Lahjavero</t>
  </si>
  <si>
    <t>Perintövero</t>
  </si>
  <si>
    <t>Palkka</t>
  </si>
  <si>
    <t>UUSI</t>
  </si>
  <si>
    <t>VANHA</t>
  </si>
  <si>
    <t>Tuki</t>
  </si>
  <si>
    <t>https://www.talouselama.fi/uutiset/opintotuen-saajien-maara-vaheni-opintotuki-keskimaarin-684-euroa/04f90f42-4006-34c4-a030-22bfb3313f85</t>
  </si>
  <si>
    <t>https://www.kela.fi/tyomarkkinatuen-maara-ja-maksaminen</t>
  </si>
  <si>
    <t>https://www.kela.fi/tyottomyysetuuden-verotus</t>
  </si>
  <si>
    <t>Yritys</t>
  </si>
  <si>
    <t>Työntekijä 1</t>
  </si>
  <si>
    <t>Työntekijä 2</t>
  </si>
  <si>
    <t>Työntekijä 3</t>
  </si>
  <si>
    <t>Työntekijä 4</t>
  </si>
  <si>
    <t>Työntekijä 5</t>
  </si>
  <si>
    <t>Työntekijä 6</t>
  </si>
  <si>
    <t>Työntekijä 7</t>
  </si>
  <si>
    <t>2 aikuista + lapsi</t>
  </si>
  <si>
    <t>Aikuinen 1</t>
  </si>
  <si>
    <t>Aikuinen 2</t>
  </si>
  <si>
    <t>2 aikuista + 2 lasta</t>
  </si>
  <si>
    <t>Lapsi, 4 v</t>
  </si>
  <si>
    <t>Lapsi, 12 v</t>
  </si>
  <si>
    <t>Opintotuki</t>
  </si>
  <si>
    <t>Lapsilisä</t>
  </si>
  <si>
    <t>+ 5 %</t>
  </si>
  <si>
    <t>Eläkeläinen</t>
  </si>
  <si>
    <t>https://www.etk.fi/tiedote/keskielake-1-656-euroa-kuukaudessa/</t>
  </si>
  <si>
    <t>- Palkka</t>
  </si>
  <si>
    <t>- opiskelijan tuki</t>
  </si>
  <si>
    <t>- ajoneuvovero</t>
  </si>
  <si>
    <t>- kiinteistövero</t>
  </si>
  <si>
    <t>- terveydenhuolto</t>
  </si>
  <si>
    <t>Erotus vanhaan</t>
  </si>
  <si>
    <t>Lääkekorvaukset</t>
  </si>
  <si>
    <t xml:space="preserve"> (2016 vuoden mukaan)</t>
  </si>
  <si>
    <t>MINIKRAATIT, BUDJETTIESITYS</t>
  </si>
  <si>
    <t>2 asteen koululainen</t>
  </si>
  <si>
    <t xml:space="preserve">   Työnantajan eläkemaksut</t>
  </si>
  <si>
    <t>Julkisen puolen työnantajan eläkekulut yhteensä</t>
  </si>
  <si>
    <t xml:space="preserve">       Edustajien määrä</t>
  </si>
  <si>
    <t>Eläke</t>
  </si>
  <si>
    <t>Lainataulukko</t>
  </si>
  <si>
    <t>Deu. 23:19</t>
  </si>
  <si>
    <t>"Älä pane veljeäsi maksamaan korkoa rahasta tai elintarpeista tai muusta, mitä korkoa vastaan lainataan".</t>
  </si>
  <si>
    <t>"Rikas hallitsee köyhiä, ja velallinen joutuu velkojan orjaksi".</t>
  </si>
  <si>
    <t>San. 22:7</t>
  </si>
  <si>
    <t>TULOARVIO YHTEENSÄ</t>
  </si>
  <si>
    <t>+ 2,5 %</t>
  </si>
  <si>
    <t>Taulukko 1. Valtion menot yhteenveto.</t>
  </si>
  <si>
    <t>+ Vanhempainrahakustannus pois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</si>
</sst>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\ %"/>
    <numFmt numFmtId="166" formatCode="_-* #,##0.0\ _€_-;\-* #,##0.0\ _€_-;_-* &quot;-&quot;??\ _€_-;_-@_-"/>
    <numFmt numFmtId="167" formatCode="_-* #,##0.0\ _€_-;\-* #,##0.0\ _€_-;_-* &quot;-&quot;?\ _€_-;_-@_-"/>
    <numFmt numFmtId="168" formatCode="#,###"/>
    <numFmt numFmtId="169" formatCode="#,###&quot; €/v&quot;"/>
    <numFmt numFmtId="170" formatCode="#,###&quot; u/k&quot;"/>
    <numFmt numFmtId="171" formatCode="_-* #,##0\ &quot;€&quot;_-;\-* #,##0\ &quot;€&quot;_-;_-* &quot;-&quot;??\ &quot;€&quot;_-;_-@_-"/>
    <numFmt numFmtId="172" formatCode="#,###&quot; €/k&quot;"/>
    <numFmt numFmtId="173" formatCode="#,###&quot; €&quot;"/>
    <numFmt numFmtId="174" formatCode="#,###&quot; €/kk&quot;"/>
    <numFmt numFmtId="175" formatCode="#,###.0&quot; €/kk&quot;"/>
    <numFmt numFmtId="176" formatCode="#,###&quot; k/hlö&quot;"/>
    <numFmt numFmtId="177" formatCode="0&quot; m²&quot;"/>
    <numFmt numFmtId="178" formatCode="#,###&quot; h&quot;"/>
    <numFmt numFmtId="179" formatCode="0&quot; €/m²&quot;"/>
    <numFmt numFmtId="180" formatCode="0&quot; €/kk&quot;"/>
    <numFmt numFmtId="181" formatCode="#,###&quot; kpl&quot;"/>
    <numFmt numFmtId="182" formatCode="0.00&quot; €/kk&quot;"/>
    <numFmt numFmtId="183" formatCode="0.0&quot; €/v&quot;"/>
    <numFmt numFmtId="184" formatCode="0&quot; €/v&quot;"/>
    <numFmt numFmtId="185" formatCode="0&quot; kpl&quot;"/>
    <numFmt numFmtId="186" formatCode="&quot;1/&quot;#,###"/>
    <numFmt numFmtId="187" formatCode="0&quot; €&quot;"/>
    <numFmt numFmtId="188" formatCode="0&quot; v&quot;"/>
    <numFmt numFmtId="189" formatCode="0&quot; €/vk&quot;"/>
    <numFmt numFmtId="190" formatCode="0.0&quot; €/kk&quot;"/>
    <numFmt numFmtId="191" formatCode="0&quot; vuodessa&quot;"/>
    <numFmt numFmtId="192" formatCode="&quot;(&quot;#,###&quot;)&quot;"/>
    <numFmt numFmtId="193" formatCode="0&quot; €/h&quot;"/>
    <numFmt numFmtId="194" formatCode="0.0&quot; h&quot;"/>
    <numFmt numFmtId="195" formatCode="&quot;(&quot;#,###&quot; €/v)&quot;"/>
    <numFmt numFmtId="196" formatCode="&quot;(&quot;0&quot; €/kk)&quot;"/>
    <numFmt numFmtId="197" formatCode="&quot;(&quot;0&quot; €/v)&quot;"/>
    <numFmt numFmtId="198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Helv"/>
    </font>
    <font>
      <sz val="10"/>
      <color theme="1"/>
      <name val="Verdana"/>
      <family val="2"/>
    </font>
    <font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41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Font="1"/>
    <xf numFmtId="0" fontId="0" fillId="0" borderId="0" xfId="0" applyAlignment="1">
      <alignment horizontal="center"/>
    </xf>
    <xf numFmtId="9" fontId="0" fillId="0" borderId="0" xfId="3" applyFont="1"/>
    <xf numFmtId="0" fontId="0" fillId="2" borderId="0" xfId="0" applyFill="1"/>
    <xf numFmtId="0" fontId="0" fillId="4" borderId="0" xfId="0" applyFill="1"/>
    <xf numFmtId="0" fontId="3" fillId="4" borderId="0" xfId="0" applyFont="1" applyFill="1"/>
    <xf numFmtId="165" fontId="0" fillId="0" borderId="0" xfId="3" applyNumberFormat="1" applyFont="1"/>
    <xf numFmtId="0" fontId="5" fillId="0" borderId="0" xfId="4"/>
    <xf numFmtId="10" fontId="0" fillId="0" borderId="0" xfId="3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0" fillId="6" borderId="0" xfId="0" applyNumberFormat="1" applyFill="1"/>
    <xf numFmtId="164" fontId="3" fillId="0" borderId="0" xfId="0" applyNumberFormat="1" applyFont="1"/>
    <xf numFmtId="164" fontId="0" fillId="7" borderId="0" xfId="0" applyNumberFormat="1" applyFill="1"/>
    <xf numFmtId="0" fontId="0" fillId="8" borderId="0" xfId="0" applyFill="1"/>
    <xf numFmtId="164" fontId="0" fillId="8" borderId="0" xfId="1" applyNumberFormat="1" applyFont="1" applyFill="1"/>
    <xf numFmtId="164" fontId="0" fillId="8" borderId="0" xfId="0" applyNumberFormat="1" applyFill="1"/>
    <xf numFmtId="166" fontId="0" fillId="8" borderId="0" xfId="0" applyNumberFormat="1" applyFill="1"/>
    <xf numFmtId="0" fontId="0" fillId="0" borderId="0" xfId="0" applyFill="1"/>
    <xf numFmtId="164" fontId="0" fillId="0" borderId="0" xfId="1" applyNumberFormat="1" applyFont="1" applyFill="1"/>
    <xf numFmtId="164" fontId="0" fillId="0" borderId="0" xfId="0" applyNumberFormat="1" applyFill="1"/>
    <xf numFmtId="0" fontId="8" fillId="0" borderId="0" xfId="0" applyFont="1"/>
    <xf numFmtId="164" fontId="8" fillId="0" borderId="0" xfId="1" applyNumberFormat="1" applyFont="1"/>
    <xf numFmtId="0" fontId="9" fillId="0" borderId="0" xfId="0" applyFont="1"/>
    <xf numFmtId="164" fontId="9" fillId="0" borderId="0" xfId="1" applyNumberFormat="1" applyFont="1"/>
    <xf numFmtId="164" fontId="9" fillId="0" borderId="0" xfId="0" applyNumberFormat="1" applyFont="1"/>
    <xf numFmtId="0" fontId="0" fillId="9" borderId="0" xfId="0" applyFill="1"/>
    <xf numFmtId="164" fontId="0" fillId="9" borderId="0" xfId="1" applyNumberFormat="1" applyFont="1" applyFill="1"/>
    <xf numFmtId="164" fontId="10" fillId="0" borderId="0" xfId="0" applyNumberFormat="1" applyFont="1"/>
    <xf numFmtId="164" fontId="9" fillId="0" borderId="0" xfId="0" applyNumberFormat="1" applyFont="1" applyFill="1"/>
    <xf numFmtId="0" fontId="3" fillId="6" borderId="0" xfId="0" applyFont="1" applyFill="1"/>
    <xf numFmtId="164" fontId="3" fillId="6" borderId="0" xfId="1" applyNumberFormat="1" applyFont="1" applyFill="1"/>
    <xf numFmtId="164" fontId="3" fillId="6" borderId="0" xfId="0" applyNumberFormat="1" applyFont="1" applyFill="1"/>
    <xf numFmtId="164" fontId="10" fillId="6" borderId="0" xfId="0" applyNumberFormat="1" applyFont="1" applyFill="1"/>
    <xf numFmtId="0" fontId="11" fillId="0" borderId="0" xfId="0" applyFont="1"/>
    <xf numFmtId="164" fontId="11" fillId="0" borderId="0" xfId="1" applyNumberFormat="1" applyFont="1"/>
    <xf numFmtId="164" fontId="11" fillId="0" borderId="0" xfId="0" applyNumberFormat="1" applyFont="1"/>
    <xf numFmtId="164" fontId="12" fillId="0" borderId="0" xfId="0" applyNumberFormat="1" applyFont="1"/>
    <xf numFmtId="9" fontId="11" fillId="0" borderId="0" xfId="3" applyFont="1"/>
    <xf numFmtId="167" fontId="0" fillId="0" borderId="0" xfId="0" applyNumberFormat="1"/>
    <xf numFmtId="164" fontId="2" fillId="0" borderId="0" xfId="1" applyNumberFormat="1" applyFont="1"/>
    <xf numFmtId="164" fontId="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3" fillId="0" borderId="0" xfId="0" applyNumberFormat="1" applyFont="1"/>
    <xf numFmtId="164" fontId="15" fillId="0" borderId="0" xfId="0" applyNumberFormat="1" applyFont="1"/>
    <xf numFmtId="0" fontId="15" fillId="6" borderId="0" xfId="0" applyFont="1" applyFill="1"/>
    <xf numFmtId="164" fontId="14" fillId="0" borderId="0" xfId="0" applyNumberFormat="1" applyFont="1"/>
    <xf numFmtId="9" fontId="4" fillId="0" borderId="0" xfId="3" applyFont="1"/>
    <xf numFmtId="168" fontId="0" fillId="0" borderId="0" xfId="1" applyNumberFormat="1" applyFont="1"/>
    <xf numFmtId="168" fontId="0" fillId="0" borderId="0" xfId="1" applyNumberFormat="1" applyFont="1" applyAlignment="1">
      <alignment horizontal="center"/>
    </xf>
    <xf numFmtId="168" fontId="0" fillId="0" borderId="0" xfId="0" applyNumberFormat="1"/>
    <xf numFmtId="169" fontId="0" fillId="0" borderId="0" xfId="2" applyNumberFormat="1" applyFont="1" applyAlignment="1">
      <alignment horizontal="center"/>
    </xf>
    <xf numFmtId="170" fontId="0" fillId="0" borderId="0" xfId="1" applyNumberFormat="1" applyFont="1"/>
    <xf numFmtId="171" fontId="0" fillId="0" borderId="0" xfId="2" applyNumberFormat="1" applyFont="1"/>
    <xf numFmtId="172" fontId="0" fillId="0" borderId="0" xfId="2" applyNumberFormat="1" applyFont="1"/>
    <xf numFmtId="173" fontId="0" fillId="0" borderId="0" xfId="2" applyNumberFormat="1" applyFont="1"/>
    <xf numFmtId="174" fontId="0" fillId="0" borderId="0" xfId="2" applyNumberFormat="1" applyFont="1" applyAlignment="1">
      <alignment horizontal="center"/>
    </xf>
    <xf numFmtId="175" fontId="0" fillId="0" borderId="0" xfId="2" applyNumberFormat="1" applyFont="1" applyAlignment="1">
      <alignment horizontal="center"/>
    </xf>
    <xf numFmtId="175" fontId="3" fillId="0" borderId="0" xfId="0" applyNumberFormat="1" applyFont="1"/>
    <xf numFmtId="173" fontId="2" fillId="0" borderId="0" xfId="2" applyNumberFormat="1" applyFont="1"/>
    <xf numFmtId="175" fontId="2" fillId="0" borderId="0" xfId="2" applyNumberFormat="1" applyFont="1" applyAlignment="1">
      <alignment horizontal="center"/>
    </xf>
    <xf numFmtId="176" fontId="0" fillId="0" borderId="0" xfId="1" applyNumberFormat="1" applyFont="1" applyAlignment="1">
      <alignment horizontal="center"/>
    </xf>
    <xf numFmtId="171" fontId="0" fillId="0" borderId="0" xfId="0" applyNumberFormat="1"/>
    <xf numFmtId="177" fontId="0" fillId="0" borderId="0" xfId="0" applyNumberFormat="1" applyAlignment="1">
      <alignment horizontal="left"/>
    </xf>
    <xf numFmtId="178" fontId="0" fillId="0" borderId="0" xfId="0" applyNumberFormat="1" applyAlignment="1">
      <alignment horizontal="left"/>
    </xf>
    <xf numFmtId="179" fontId="0" fillId="0" borderId="0" xfId="0" applyNumberFormat="1" applyAlignment="1">
      <alignment horizontal="right"/>
    </xf>
    <xf numFmtId="180" fontId="0" fillId="0" borderId="0" xfId="0" applyNumberFormat="1" applyAlignment="1">
      <alignment horizontal="right"/>
    </xf>
    <xf numFmtId="181" fontId="0" fillId="0" borderId="0" xfId="0" applyNumberFormat="1" applyAlignment="1">
      <alignment horizontal="left"/>
    </xf>
    <xf numFmtId="173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3" fontId="0" fillId="0" borderId="0" xfId="0" applyNumberFormat="1"/>
    <xf numFmtId="180" fontId="0" fillId="0" borderId="0" xfId="0" applyNumberFormat="1"/>
    <xf numFmtId="182" fontId="0" fillId="9" borderId="0" xfId="0" applyNumberFormat="1" applyFill="1"/>
    <xf numFmtId="183" fontId="0" fillId="9" borderId="0" xfId="0" applyNumberFormat="1" applyFill="1"/>
    <xf numFmtId="182" fontId="0" fillId="4" borderId="0" xfId="0" applyNumberFormat="1" applyFill="1"/>
    <xf numFmtId="183" fontId="0" fillId="4" borderId="0" xfId="0" applyNumberFormat="1" applyFill="1"/>
    <xf numFmtId="0" fontId="0" fillId="10" borderId="0" xfId="0" applyFill="1"/>
    <xf numFmtId="0" fontId="0" fillId="11" borderId="0" xfId="0" applyFill="1"/>
    <xf numFmtId="182" fontId="0" fillId="11" borderId="0" xfId="0" applyNumberFormat="1" applyFill="1"/>
    <xf numFmtId="183" fontId="0" fillId="11" borderId="0" xfId="0" applyNumberFormat="1" applyFill="1"/>
    <xf numFmtId="184" fontId="0" fillId="9" borderId="0" xfId="0" applyNumberFormat="1" applyFill="1"/>
    <xf numFmtId="184" fontId="0" fillId="11" borderId="0" xfId="0" applyNumberFormat="1" applyFill="1"/>
    <xf numFmtId="184" fontId="0" fillId="10" borderId="0" xfId="0" applyNumberFormat="1" applyFill="1"/>
    <xf numFmtId="184" fontId="0" fillId="4" borderId="0" xfId="0" applyNumberFormat="1" applyFill="1"/>
    <xf numFmtId="184" fontId="0" fillId="0" borderId="0" xfId="0" applyNumberFormat="1"/>
    <xf numFmtId="180" fontId="0" fillId="9" borderId="0" xfId="0" applyNumberFormat="1" applyFill="1"/>
    <xf numFmtId="180" fontId="0" fillId="11" borderId="0" xfId="0" applyNumberFormat="1" applyFill="1"/>
    <xf numFmtId="180" fontId="0" fillId="10" borderId="0" xfId="0" applyNumberFormat="1" applyFill="1"/>
    <xf numFmtId="180" fontId="0" fillId="4" borderId="0" xfId="0" applyNumberFormat="1" applyFill="1"/>
    <xf numFmtId="185" fontId="0" fillId="0" borderId="0" xfId="0" applyNumberFormat="1"/>
    <xf numFmtId="169" fontId="0" fillId="0" borderId="0" xfId="0" applyNumberFormat="1"/>
    <xf numFmtId="186" fontId="0" fillId="0" borderId="0" xfId="0" applyNumberFormat="1"/>
    <xf numFmtId="177" fontId="0" fillId="0" borderId="0" xfId="0" applyNumberFormat="1" applyAlignment="1">
      <alignment horizontal="right"/>
    </xf>
    <xf numFmtId="181" fontId="0" fillId="0" borderId="0" xfId="0" applyNumberFormat="1"/>
    <xf numFmtId="165" fontId="0" fillId="9" borderId="0" xfId="3" applyNumberFormat="1" applyFont="1" applyFill="1"/>
    <xf numFmtId="165" fontId="0" fillId="10" borderId="0" xfId="3" applyNumberFormat="1" applyFont="1" applyFill="1"/>
    <xf numFmtId="165" fontId="0" fillId="11" borderId="0" xfId="3" applyNumberFormat="1" applyFont="1" applyFill="1"/>
    <xf numFmtId="165" fontId="0" fillId="4" borderId="0" xfId="3" applyNumberFormat="1" applyFont="1" applyFill="1"/>
    <xf numFmtId="0" fontId="0" fillId="13" borderId="0" xfId="0" applyFill="1"/>
    <xf numFmtId="180" fontId="0" fillId="13" borderId="0" xfId="0" applyNumberFormat="1" applyFill="1"/>
    <xf numFmtId="184" fontId="0" fillId="13" borderId="0" xfId="0" applyNumberFormat="1" applyFill="1"/>
    <xf numFmtId="165" fontId="0" fillId="13" borderId="0" xfId="0" applyNumberFormat="1" applyFill="1"/>
    <xf numFmtId="0" fontId="3" fillId="13" borderId="0" xfId="0" applyFont="1" applyFill="1"/>
    <xf numFmtId="182" fontId="3" fillId="13" borderId="0" xfId="0" applyNumberFormat="1" applyFont="1" applyFill="1"/>
    <xf numFmtId="183" fontId="3" fillId="13" borderId="0" xfId="0" applyNumberFormat="1" applyFont="1" applyFill="1"/>
    <xf numFmtId="9" fontId="0" fillId="13" borderId="0" xfId="3" applyFont="1" applyFill="1"/>
    <xf numFmtId="169" fontId="0" fillId="13" borderId="0" xfId="0" applyNumberFormat="1" applyFill="1"/>
    <xf numFmtId="0" fontId="0" fillId="13" borderId="1" xfId="0" applyFill="1" applyBorder="1"/>
    <xf numFmtId="9" fontId="0" fillId="13" borderId="1" xfId="3" applyFont="1" applyFill="1" applyBorder="1"/>
    <xf numFmtId="169" fontId="0" fillId="13" borderId="1" xfId="0" applyNumberFormat="1" applyFill="1" applyBorder="1"/>
    <xf numFmtId="0" fontId="0" fillId="13" borderId="0" xfId="0" applyFill="1" applyBorder="1"/>
    <xf numFmtId="9" fontId="0" fillId="13" borderId="0" xfId="3" applyFont="1" applyFill="1" applyBorder="1"/>
    <xf numFmtId="169" fontId="0" fillId="13" borderId="0" xfId="0" applyNumberFormat="1" applyFill="1" applyBorder="1"/>
    <xf numFmtId="185" fontId="0" fillId="11" borderId="0" xfId="0" applyNumberFormat="1" applyFill="1"/>
    <xf numFmtId="186" fontId="0" fillId="11" borderId="0" xfId="0" applyNumberFormat="1" applyFill="1"/>
    <xf numFmtId="169" fontId="0" fillId="11" borderId="0" xfId="0" applyNumberFormat="1" applyFill="1"/>
    <xf numFmtId="0" fontId="0" fillId="7" borderId="0" xfId="0" applyFill="1"/>
    <xf numFmtId="185" fontId="0" fillId="7" borderId="0" xfId="0" applyNumberFormat="1" applyFill="1"/>
    <xf numFmtId="186" fontId="0" fillId="7" borderId="0" xfId="0" applyNumberFormat="1" applyFill="1"/>
    <xf numFmtId="180" fontId="0" fillId="7" borderId="0" xfId="0" applyNumberFormat="1" applyFill="1"/>
    <xf numFmtId="169" fontId="0" fillId="7" borderId="0" xfId="0" applyNumberFormat="1" applyFill="1"/>
    <xf numFmtId="185" fontId="0" fillId="9" borderId="0" xfId="0" applyNumberFormat="1" applyFill="1"/>
    <xf numFmtId="186" fontId="0" fillId="9" borderId="0" xfId="0" applyNumberFormat="1" applyFill="1"/>
    <xf numFmtId="169" fontId="0" fillId="9" borderId="0" xfId="0" applyNumberFormat="1" applyFill="1"/>
    <xf numFmtId="0" fontId="0" fillId="12" borderId="0" xfId="0" applyFill="1"/>
    <xf numFmtId="185" fontId="0" fillId="12" borderId="0" xfId="0" applyNumberFormat="1" applyFill="1"/>
    <xf numFmtId="186" fontId="0" fillId="12" borderId="0" xfId="0" applyNumberFormat="1" applyFill="1"/>
    <xf numFmtId="180" fontId="0" fillId="12" borderId="0" xfId="0" applyNumberFormat="1" applyFill="1"/>
    <xf numFmtId="169" fontId="0" fillId="12" borderId="0" xfId="0" applyNumberFormat="1" applyFill="1"/>
    <xf numFmtId="169" fontId="0" fillId="4" borderId="0" xfId="0" applyNumberFormat="1" applyFill="1"/>
    <xf numFmtId="185" fontId="0" fillId="4" borderId="0" xfId="0" applyNumberFormat="1" applyFill="1"/>
    <xf numFmtId="186" fontId="0" fillId="4" borderId="0" xfId="0" applyNumberFormat="1" applyFill="1"/>
    <xf numFmtId="10" fontId="0" fillId="9" borderId="0" xfId="3" applyNumberFormat="1" applyFont="1" applyFill="1"/>
    <xf numFmtId="10" fontId="0" fillId="11" borderId="0" xfId="3" applyNumberFormat="1" applyFont="1" applyFill="1"/>
    <xf numFmtId="10" fontId="0" fillId="7" borderId="0" xfId="3" applyNumberFormat="1" applyFont="1" applyFill="1"/>
    <xf numFmtId="10" fontId="0" fillId="4" borderId="0" xfId="3" applyNumberFormat="1" applyFont="1" applyFill="1"/>
    <xf numFmtId="181" fontId="0" fillId="7" borderId="0" xfId="0" applyNumberFormat="1" applyFill="1"/>
    <xf numFmtId="181" fontId="0" fillId="11" borderId="0" xfId="0" applyNumberFormat="1" applyFill="1"/>
    <xf numFmtId="181" fontId="0" fillId="4" borderId="0" xfId="0" applyNumberFormat="1" applyFill="1"/>
    <xf numFmtId="181" fontId="0" fillId="9" borderId="0" xfId="0" applyNumberFormat="1" applyFill="1"/>
    <xf numFmtId="181" fontId="0" fillId="12" borderId="0" xfId="0" applyNumberFormat="1" applyFill="1"/>
    <xf numFmtId="10" fontId="0" fillId="12" borderId="0" xfId="3" applyNumberFormat="1" applyFont="1" applyFill="1"/>
    <xf numFmtId="185" fontId="0" fillId="13" borderId="1" xfId="0" applyNumberFormat="1" applyFill="1" applyBorder="1"/>
    <xf numFmtId="165" fontId="0" fillId="13" borderId="1" xfId="3" applyNumberFormat="1" applyFont="1" applyFill="1" applyBorder="1"/>
    <xf numFmtId="190" fontId="0" fillId="4" borderId="0" xfId="0" applyNumberFormat="1" applyFill="1"/>
    <xf numFmtId="190" fontId="0" fillId="9" borderId="0" xfId="0" applyNumberFormat="1" applyFill="1"/>
    <xf numFmtId="190" fontId="0" fillId="11" borderId="0" xfId="0" applyNumberFormat="1" applyFill="1"/>
    <xf numFmtId="190" fontId="0" fillId="7" borderId="0" xfId="0" applyNumberFormat="1" applyFill="1"/>
    <xf numFmtId="190" fontId="0" fillId="12" borderId="0" xfId="0" applyNumberFormat="1" applyFill="1"/>
    <xf numFmtId="165" fontId="16" fillId="0" borderId="0" xfId="3" applyNumberFormat="1" applyFont="1"/>
    <xf numFmtId="164" fontId="16" fillId="0" borderId="0" xfId="1" applyNumberFormat="1" applyFont="1"/>
    <xf numFmtId="0" fontId="17" fillId="0" borderId="0" xfId="0" applyFont="1"/>
    <xf numFmtId="164" fontId="17" fillId="0" borderId="0" xfId="1" applyNumberFormat="1" applyFont="1"/>
    <xf numFmtId="164" fontId="17" fillId="0" borderId="0" xfId="0" applyNumberFormat="1" applyFont="1"/>
    <xf numFmtId="0" fontId="4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0" applyNumberFormat="1" applyFont="1" applyFill="1"/>
    <xf numFmtId="164" fontId="4" fillId="0" borderId="0" xfId="1" applyNumberFormat="1" applyFont="1" applyFill="1"/>
    <xf numFmtId="164" fontId="4" fillId="9" borderId="0" xfId="0" applyNumberFormat="1" applyFont="1" applyFill="1"/>
    <xf numFmtId="164" fontId="17" fillId="6" borderId="0" xfId="1" applyNumberFormat="1" applyFont="1" applyFill="1"/>
    <xf numFmtId="173" fontId="17" fillId="0" borderId="0" xfId="0" applyNumberFormat="1" applyFont="1"/>
    <xf numFmtId="173" fontId="4" fillId="0" borderId="0" xfId="0" applyNumberFormat="1" applyFont="1"/>
    <xf numFmtId="173" fontId="4" fillId="8" borderId="0" xfId="0" applyNumberFormat="1" applyFont="1" applyFill="1"/>
    <xf numFmtId="173" fontId="17" fillId="0" borderId="0" xfId="1" applyNumberFormat="1" applyFont="1"/>
    <xf numFmtId="173" fontId="15" fillId="0" borderId="0" xfId="0" applyNumberFormat="1" applyFont="1"/>
    <xf numFmtId="173" fontId="13" fillId="0" borderId="0" xfId="0" applyNumberFormat="1" applyFont="1"/>
    <xf numFmtId="0" fontId="16" fillId="0" borderId="1" xfId="0" applyFont="1" applyBorder="1"/>
    <xf numFmtId="9" fontId="16" fillId="0" borderId="1" xfId="3" applyFont="1" applyBorder="1"/>
    <xf numFmtId="173" fontId="16" fillId="0" borderId="1" xfId="0" applyNumberFormat="1" applyFont="1" applyBorder="1"/>
    <xf numFmtId="9" fontId="19" fillId="0" borderId="1" xfId="3" applyFont="1" applyBorder="1"/>
    <xf numFmtId="0" fontId="17" fillId="0" borderId="2" xfId="0" applyFont="1" applyBorder="1"/>
    <xf numFmtId="164" fontId="17" fillId="0" borderId="2" xfId="1" applyNumberFormat="1" applyFont="1" applyBorder="1"/>
    <xf numFmtId="173" fontId="17" fillId="0" borderId="2" xfId="0" applyNumberFormat="1" applyFont="1" applyBorder="1"/>
    <xf numFmtId="9" fontId="4" fillId="0" borderId="2" xfId="3" applyFont="1" applyBorder="1"/>
    <xf numFmtId="180" fontId="0" fillId="9" borderId="0" xfId="0" applyNumberFormat="1" applyFill="1" applyAlignment="1">
      <alignment horizontal="left"/>
    </xf>
    <xf numFmtId="182" fontId="0" fillId="7" borderId="0" xfId="0" applyNumberFormat="1" applyFill="1"/>
    <xf numFmtId="183" fontId="0" fillId="7" borderId="0" xfId="0" applyNumberFormat="1" applyFill="1"/>
    <xf numFmtId="0" fontId="3" fillId="9" borderId="0" xfId="0" applyFont="1" applyFill="1"/>
    <xf numFmtId="182" fontId="3" fillId="9" borderId="0" xfId="0" applyNumberFormat="1" applyFont="1" applyFill="1"/>
    <xf numFmtId="183" fontId="3" fillId="9" borderId="0" xfId="0" applyNumberFormat="1" applyFont="1" applyFill="1"/>
    <xf numFmtId="169" fontId="3" fillId="9" borderId="0" xfId="0" applyNumberFormat="1" applyFont="1" applyFill="1"/>
    <xf numFmtId="0" fontId="3" fillId="11" borderId="0" xfId="0" applyFont="1" applyFill="1"/>
    <xf numFmtId="182" fontId="3" fillId="11" borderId="0" xfId="0" applyNumberFormat="1" applyFont="1" applyFill="1"/>
    <xf numFmtId="183" fontId="3" fillId="11" borderId="0" xfId="0" applyNumberFormat="1" applyFont="1" applyFill="1"/>
    <xf numFmtId="182" fontId="3" fillId="4" borderId="0" xfId="0" applyNumberFormat="1" applyFont="1" applyFill="1"/>
    <xf numFmtId="183" fontId="3" fillId="4" borderId="0" xfId="0" applyNumberFormat="1" applyFont="1" applyFill="1"/>
    <xf numFmtId="0" fontId="0" fillId="14" borderId="0" xfId="0" applyFill="1"/>
    <xf numFmtId="0" fontId="3" fillId="7" borderId="0" xfId="0" applyFont="1" applyFill="1"/>
    <xf numFmtId="182" fontId="3" fillId="7" borderId="0" xfId="0" applyNumberFormat="1" applyFont="1" applyFill="1"/>
    <xf numFmtId="183" fontId="3" fillId="7" borderId="0" xfId="0" applyNumberFormat="1" applyFont="1" applyFill="1"/>
    <xf numFmtId="169" fontId="3" fillId="14" borderId="0" xfId="0" applyNumberFormat="1" applyFont="1" applyFill="1"/>
    <xf numFmtId="169" fontId="0" fillId="14" borderId="0" xfId="0" applyNumberFormat="1" applyFill="1"/>
    <xf numFmtId="0" fontId="3" fillId="14" borderId="0" xfId="0" applyFont="1" applyFill="1"/>
    <xf numFmtId="182" fontId="3" fillId="14" borderId="0" xfId="0" applyNumberFormat="1" applyFont="1" applyFill="1"/>
    <xf numFmtId="183" fontId="3" fillId="14" borderId="0" xfId="0" applyNumberFormat="1" applyFont="1" applyFill="1"/>
    <xf numFmtId="180" fontId="0" fillId="14" borderId="0" xfId="0" applyNumberFormat="1" applyFill="1"/>
    <xf numFmtId="183" fontId="0" fillId="14" borderId="0" xfId="0" applyNumberFormat="1" applyFill="1"/>
    <xf numFmtId="182" fontId="0" fillId="14" borderId="0" xfId="0" applyNumberFormat="1" applyFill="1"/>
    <xf numFmtId="10" fontId="3" fillId="9" borderId="0" xfId="3" applyNumberFormat="1" applyFont="1" applyFill="1"/>
    <xf numFmtId="10" fontId="3" fillId="11" borderId="0" xfId="3" applyNumberFormat="1" applyFont="1" applyFill="1"/>
    <xf numFmtId="10" fontId="3" fillId="7" borderId="0" xfId="3" applyNumberFormat="1" applyFont="1" applyFill="1"/>
    <xf numFmtId="10" fontId="3" fillId="4" borderId="0" xfId="3" applyNumberFormat="1" applyFont="1" applyFill="1"/>
    <xf numFmtId="10" fontId="3" fillId="14" borderId="0" xfId="3" applyNumberFormat="1" applyFont="1" applyFill="1"/>
    <xf numFmtId="10" fontId="0" fillId="14" borderId="0" xfId="3" applyNumberFormat="1" applyFont="1" applyFill="1"/>
    <xf numFmtId="169" fontId="3" fillId="11" borderId="0" xfId="0" applyNumberFormat="1" applyFont="1" applyFill="1"/>
    <xf numFmtId="180" fontId="0" fillId="11" borderId="0" xfId="0" applyNumberFormat="1" applyFill="1" applyAlignment="1">
      <alignment horizontal="left"/>
    </xf>
    <xf numFmtId="180" fontId="0" fillId="7" borderId="0" xfId="0" applyNumberFormat="1" applyFill="1" applyAlignment="1">
      <alignment horizontal="left"/>
    </xf>
    <xf numFmtId="169" fontId="3" fillId="7" borderId="0" xfId="0" applyNumberFormat="1" applyFont="1" applyFill="1"/>
    <xf numFmtId="169" fontId="3" fillId="4" borderId="0" xfId="0" applyNumberFormat="1" applyFont="1" applyFill="1"/>
    <xf numFmtId="180" fontId="0" fillId="4" borderId="0" xfId="0" applyNumberFormat="1" applyFill="1" applyAlignment="1">
      <alignment horizontal="left"/>
    </xf>
    <xf numFmtId="169" fontId="17" fillId="13" borderId="0" xfId="0" applyNumberFormat="1" applyFont="1" applyFill="1"/>
    <xf numFmtId="0" fontId="0" fillId="13" borderId="0" xfId="0" applyFill="1" applyAlignment="1">
      <alignment horizontal="left"/>
    </xf>
    <xf numFmtId="165" fontId="3" fillId="9" borderId="0" xfId="3" applyNumberFormat="1" applyFont="1" applyFill="1" applyAlignment="1">
      <alignment horizontal="left"/>
    </xf>
    <xf numFmtId="186" fontId="0" fillId="9" borderId="0" xfId="0" applyNumberFormat="1" applyFill="1" applyAlignment="1">
      <alignment horizontal="left"/>
    </xf>
    <xf numFmtId="165" fontId="0" fillId="9" borderId="0" xfId="3" applyNumberFormat="1" applyFont="1" applyFill="1" applyAlignment="1">
      <alignment horizontal="left"/>
    </xf>
    <xf numFmtId="165" fontId="3" fillId="11" borderId="0" xfId="3" applyNumberFormat="1" applyFont="1" applyFill="1" applyAlignment="1">
      <alignment horizontal="left"/>
    </xf>
    <xf numFmtId="186" fontId="0" fillId="11" borderId="0" xfId="0" applyNumberFormat="1" applyFill="1" applyAlignment="1">
      <alignment horizontal="left"/>
    </xf>
    <xf numFmtId="165" fontId="0" fillId="11" borderId="0" xfId="3" applyNumberFormat="1" applyFont="1" applyFill="1" applyAlignment="1">
      <alignment horizontal="left"/>
    </xf>
    <xf numFmtId="165" fontId="3" fillId="7" borderId="0" xfId="3" applyNumberFormat="1" applyFont="1" applyFill="1" applyAlignment="1">
      <alignment horizontal="left"/>
    </xf>
    <xf numFmtId="186" fontId="0" fillId="7" borderId="0" xfId="0" applyNumberFormat="1" applyFill="1" applyAlignment="1">
      <alignment horizontal="left"/>
    </xf>
    <xf numFmtId="165" fontId="0" fillId="7" borderId="0" xfId="3" applyNumberFormat="1" applyFont="1" applyFill="1" applyAlignment="1">
      <alignment horizontal="left"/>
    </xf>
    <xf numFmtId="165" fontId="3" fillId="4" borderId="0" xfId="3" applyNumberFormat="1" applyFont="1" applyFill="1" applyAlignment="1">
      <alignment horizontal="left"/>
    </xf>
    <xf numFmtId="186" fontId="0" fillId="4" borderId="0" xfId="0" applyNumberFormat="1" applyFill="1" applyAlignment="1">
      <alignment horizontal="left"/>
    </xf>
    <xf numFmtId="165" fontId="0" fillId="4" borderId="0" xfId="3" applyNumberFormat="1" applyFont="1" applyFill="1" applyAlignment="1">
      <alignment horizontal="left"/>
    </xf>
    <xf numFmtId="165" fontId="3" fillId="14" borderId="0" xfId="3" applyNumberFormat="1" applyFont="1" applyFill="1" applyAlignment="1">
      <alignment horizontal="left"/>
    </xf>
    <xf numFmtId="165" fontId="0" fillId="14" borderId="0" xfId="3" applyNumberFormat="1" applyFont="1" applyFill="1" applyAlignment="1">
      <alignment horizontal="left"/>
    </xf>
    <xf numFmtId="187" fontId="3" fillId="0" borderId="0" xfId="0" applyNumberFormat="1" applyFont="1"/>
    <xf numFmtId="173" fontId="0" fillId="13" borderId="0" xfId="0" applyNumberFormat="1" applyFill="1"/>
    <xf numFmtId="191" fontId="0" fillId="13" borderId="0" xfId="0" applyNumberFormat="1" applyFill="1"/>
    <xf numFmtId="173" fontId="3" fillId="9" borderId="0" xfId="0" applyNumberFormat="1" applyFont="1" applyFill="1"/>
    <xf numFmtId="173" fontId="0" fillId="9" borderId="0" xfId="0" applyNumberFormat="1" applyFill="1"/>
    <xf numFmtId="173" fontId="3" fillId="11" borderId="0" xfId="0" applyNumberFormat="1" applyFont="1" applyFill="1"/>
    <xf numFmtId="173" fontId="0" fillId="11" borderId="0" xfId="0" applyNumberFormat="1" applyFill="1"/>
    <xf numFmtId="173" fontId="3" fillId="7" borderId="0" xfId="0" applyNumberFormat="1" applyFont="1" applyFill="1"/>
    <xf numFmtId="173" fontId="0" fillId="7" borderId="0" xfId="0" applyNumberFormat="1" applyFill="1"/>
    <xf numFmtId="173" fontId="3" fillId="4" borderId="0" xfId="0" applyNumberFormat="1" applyFont="1" applyFill="1"/>
    <xf numFmtId="173" fontId="0" fillId="4" borderId="0" xfId="0" applyNumberFormat="1" applyFill="1"/>
    <xf numFmtId="173" fontId="3" fillId="14" borderId="0" xfId="0" applyNumberFormat="1" applyFont="1" applyFill="1"/>
    <xf numFmtId="173" fontId="0" fillId="14" borderId="0" xfId="0" applyNumberFormat="1" applyFill="1"/>
    <xf numFmtId="181" fontId="3" fillId="13" borderId="0" xfId="0" applyNumberFormat="1" applyFont="1" applyFill="1"/>
    <xf numFmtId="180" fontId="3" fillId="13" borderId="0" xfId="0" applyNumberFormat="1" applyFont="1" applyFill="1"/>
    <xf numFmtId="184" fontId="3" fillId="13" borderId="0" xfId="0" applyNumberFormat="1" applyFont="1" applyFill="1"/>
    <xf numFmtId="9" fontId="3" fillId="13" borderId="0" xfId="3" applyFont="1" applyFill="1"/>
    <xf numFmtId="180" fontId="3" fillId="0" borderId="0" xfId="0" applyNumberFormat="1" applyFont="1"/>
    <xf numFmtId="165" fontId="3" fillId="0" borderId="0" xfId="3" applyNumberFormat="1" applyFont="1"/>
    <xf numFmtId="188" fontId="3" fillId="0" borderId="0" xfId="0" applyNumberFormat="1" applyFont="1"/>
    <xf numFmtId="177" fontId="3" fillId="0" borderId="0" xfId="0" applyNumberFormat="1" applyFont="1"/>
    <xf numFmtId="179" fontId="3" fillId="0" borderId="0" xfId="0" applyNumberFormat="1" applyFont="1"/>
    <xf numFmtId="189" fontId="3" fillId="0" borderId="0" xfId="0" applyNumberFormat="1" applyFont="1"/>
    <xf numFmtId="180" fontId="3" fillId="0" borderId="0" xfId="0" applyNumberFormat="1" applyFont="1" applyAlignment="1">
      <alignment horizontal="left"/>
    </xf>
    <xf numFmtId="180" fontId="0" fillId="0" borderId="0" xfId="0" applyNumberFormat="1" applyAlignment="1">
      <alignment horizontal="left"/>
    </xf>
    <xf numFmtId="187" fontId="0" fillId="0" borderId="0" xfId="0" applyNumberFormat="1" applyAlignment="1">
      <alignment horizontal="left"/>
    </xf>
    <xf numFmtId="165" fontId="0" fillId="0" borderId="0" xfId="0" applyNumberFormat="1"/>
    <xf numFmtId="188" fontId="0" fillId="13" borderId="0" xfId="0" applyNumberFormat="1" applyFill="1"/>
    <xf numFmtId="169" fontId="0" fillId="9" borderId="0" xfId="0" applyNumberFormat="1" applyFont="1" applyFill="1"/>
    <xf numFmtId="184" fontId="0" fillId="7" borderId="0" xfId="0" applyNumberFormat="1" applyFill="1"/>
    <xf numFmtId="165" fontId="0" fillId="7" borderId="0" xfId="3" applyNumberFormat="1" applyFont="1" applyFill="1"/>
    <xf numFmtId="184" fontId="0" fillId="14" borderId="0" xfId="0" applyNumberFormat="1" applyFill="1"/>
    <xf numFmtId="165" fontId="0" fillId="14" borderId="0" xfId="3" applyNumberFormat="1" applyFont="1" applyFill="1"/>
    <xf numFmtId="169" fontId="3" fillId="13" borderId="0" xfId="0" applyNumberFormat="1" applyFont="1" applyFill="1"/>
    <xf numFmtId="173" fontId="0" fillId="0" borderId="0" xfId="0" applyNumberFormat="1"/>
    <xf numFmtId="186" fontId="0" fillId="13" borderId="0" xfId="0" applyNumberFormat="1" applyFill="1" applyAlignment="1">
      <alignment horizontal="left"/>
    </xf>
    <xf numFmtId="180" fontId="0" fillId="14" borderId="0" xfId="0" applyNumberFormat="1" applyFill="1" applyAlignment="1">
      <alignment horizontal="left"/>
    </xf>
    <xf numFmtId="43" fontId="9" fillId="0" borderId="0" xfId="1" applyFont="1"/>
    <xf numFmtId="43" fontId="3" fillId="0" borderId="0" xfId="0" applyNumberFormat="1" applyFont="1"/>
    <xf numFmtId="191" fontId="3" fillId="13" borderId="0" xfId="0" applyNumberFormat="1" applyFont="1" applyFill="1"/>
    <xf numFmtId="173" fontId="3" fillId="13" borderId="0" xfId="0" applyNumberFormat="1" applyFont="1" applyFill="1"/>
    <xf numFmtId="0" fontId="0" fillId="13" borderId="0" xfId="0" applyFill="1" applyAlignment="1">
      <alignment horizontal="right"/>
    </xf>
    <xf numFmtId="181" fontId="3" fillId="9" borderId="0" xfId="0" applyNumberFormat="1" applyFont="1" applyFill="1" applyAlignment="1">
      <alignment horizontal="right"/>
    </xf>
    <xf numFmtId="181" fontId="0" fillId="9" borderId="0" xfId="0" applyNumberFormat="1" applyFill="1" applyAlignment="1">
      <alignment horizontal="right"/>
    </xf>
    <xf numFmtId="181" fontId="3" fillId="11" borderId="0" xfId="0" applyNumberFormat="1" applyFont="1" applyFill="1" applyAlignment="1">
      <alignment horizontal="right"/>
    </xf>
    <xf numFmtId="181" fontId="0" fillId="11" borderId="0" xfId="0" applyNumberFormat="1" applyFill="1" applyAlignment="1">
      <alignment horizontal="right"/>
    </xf>
    <xf numFmtId="182" fontId="0" fillId="11" borderId="0" xfId="0" applyNumberFormat="1" applyFill="1" applyAlignment="1">
      <alignment horizontal="right"/>
    </xf>
    <xf numFmtId="181" fontId="3" fillId="7" borderId="0" xfId="0" applyNumberFormat="1" applyFont="1" applyFill="1" applyAlignment="1">
      <alignment horizontal="right"/>
    </xf>
    <xf numFmtId="181" fontId="0" fillId="7" borderId="0" xfId="0" applyNumberFormat="1" applyFill="1" applyAlignment="1">
      <alignment horizontal="right"/>
    </xf>
    <xf numFmtId="182" fontId="0" fillId="7" borderId="0" xfId="0" applyNumberFormat="1" applyFill="1" applyAlignment="1">
      <alignment horizontal="right"/>
    </xf>
    <xf numFmtId="181" fontId="3" fillId="4" borderId="0" xfId="0" applyNumberFormat="1" applyFont="1" applyFill="1" applyAlignment="1">
      <alignment horizontal="right"/>
    </xf>
    <xf numFmtId="181" fontId="0" fillId="4" borderId="0" xfId="0" applyNumberFormat="1" applyFill="1" applyAlignment="1">
      <alignment horizontal="right"/>
    </xf>
    <xf numFmtId="182" fontId="0" fillId="4" borderId="0" xfId="0" applyNumberFormat="1" applyFill="1" applyAlignment="1">
      <alignment horizontal="right"/>
    </xf>
    <xf numFmtId="182" fontId="3" fillId="14" borderId="0" xfId="0" applyNumberFormat="1" applyFont="1" applyFill="1" applyAlignment="1">
      <alignment horizontal="right"/>
    </xf>
    <xf numFmtId="181" fontId="0" fillId="14" borderId="0" xfId="0" applyNumberFormat="1" applyFill="1" applyAlignment="1">
      <alignment horizontal="right"/>
    </xf>
    <xf numFmtId="181" fontId="3" fillId="13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8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83" fontId="0" fillId="13" borderId="0" xfId="0" applyNumberFormat="1" applyFill="1"/>
    <xf numFmtId="174" fontId="3" fillId="13" borderId="0" xfId="0" applyNumberFormat="1" applyFont="1" applyFill="1"/>
    <xf numFmtId="174" fontId="3" fillId="13" borderId="0" xfId="0" applyNumberFormat="1" applyFont="1" applyFill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173" fontId="14" fillId="0" borderId="0" xfId="0" applyNumberFormat="1" applyFont="1" applyBorder="1"/>
    <xf numFmtId="173" fontId="15" fillId="0" borderId="0" xfId="0" applyNumberFormat="1" applyFont="1" applyBorder="1"/>
    <xf numFmtId="0" fontId="20" fillId="13" borderId="0" xfId="0" applyFont="1" applyFill="1"/>
    <xf numFmtId="192" fontId="20" fillId="9" borderId="0" xfId="0" applyNumberFormat="1" applyFont="1" applyFill="1"/>
    <xf numFmtId="169" fontId="20" fillId="9" borderId="0" xfId="0" applyNumberFormat="1" applyFont="1" applyFill="1"/>
    <xf numFmtId="192" fontId="20" fillId="11" borderId="0" xfId="0" applyNumberFormat="1" applyFont="1" applyFill="1"/>
    <xf numFmtId="169" fontId="20" fillId="11" borderId="0" xfId="0" applyNumberFormat="1" applyFont="1" applyFill="1"/>
    <xf numFmtId="192" fontId="20" fillId="7" borderId="0" xfId="0" applyNumberFormat="1" applyFont="1" applyFill="1"/>
    <xf numFmtId="169" fontId="20" fillId="7" borderId="0" xfId="0" applyNumberFormat="1" applyFont="1" applyFill="1"/>
    <xf numFmtId="192" fontId="20" fillId="4" borderId="0" xfId="0" applyNumberFormat="1" applyFont="1" applyFill="1"/>
    <xf numFmtId="169" fontId="20" fillId="4" borderId="0" xfId="0" applyNumberFormat="1" applyFont="1" applyFill="1"/>
    <xf numFmtId="169" fontId="21" fillId="14" borderId="0" xfId="0" applyNumberFormat="1" applyFont="1" applyFill="1"/>
    <xf numFmtId="169" fontId="20" fillId="14" borderId="0" xfId="0" applyNumberFormat="1" applyFont="1" applyFill="1"/>
    <xf numFmtId="169" fontId="22" fillId="13" borderId="0" xfId="0" applyNumberFormat="1" applyFont="1" applyFill="1"/>
    <xf numFmtId="169" fontId="20" fillId="13" borderId="0" xfId="0" applyNumberFormat="1" applyFont="1" applyFill="1"/>
    <xf numFmtId="173" fontId="20" fillId="13" borderId="0" xfId="0" applyNumberFormat="1" applyFont="1" applyFill="1"/>
    <xf numFmtId="0" fontId="20" fillId="0" borderId="0" xfId="0" applyFont="1"/>
    <xf numFmtId="173" fontId="20" fillId="0" borderId="0" xfId="0" applyNumberFormat="1" applyFont="1"/>
    <xf numFmtId="169" fontId="20" fillId="0" borderId="0" xfId="0" applyNumberFormat="1" applyFont="1"/>
    <xf numFmtId="192" fontId="20" fillId="9" borderId="0" xfId="0" applyNumberFormat="1" applyFont="1" applyFill="1" applyAlignment="1">
      <alignment horizontal="right"/>
    </xf>
    <xf numFmtId="181" fontId="20" fillId="9" borderId="0" xfId="0" applyNumberFormat="1" applyFont="1" applyFill="1" applyAlignment="1">
      <alignment horizontal="right"/>
    </xf>
    <xf numFmtId="192" fontId="20" fillId="11" borderId="0" xfId="0" applyNumberFormat="1" applyFont="1" applyFill="1" applyAlignment="1">
      <alignment horizontal="right"/>
    </xf>
    <xf numFmtId="181" fontId="20" fillId="11" borderId="0" xfId="0" applyNumberFormat="1" applyFont="1" applyFill="1" applyAlignment="1">
      <alignment horizontal="right"/>
    </xf>
    <xf numFmtId="182" fontId="20" fillId="11" borderId="0" xfId="0" applyNumberFormat="1" applyFont="1" applyFill="1" applyAlignment="1">
      <alignment horizontal="right"/>
    </xf>
    <xf numFmtId="192" fontId="20" fillId="7" borderId="0" xfId="0" applyNumberFormat="1" applyFont="1" applyFill="1" applyAlignment="1">
      <alignment horizontal="right"/>
    </xf>
    <xf numFmtId="181" fontId="20" fillId="7" borderId="0" xfId="0" applyNumberFormat="1" applyFont="1" applyFill="1" applyAlignment="1">
      <alignment horizontal="right"/>
    </xf>
    <xf numFmtId="182" fontId="20" fillId="7" borderId="0" xfId="0" applyNumberFormat="1" applyFont="1" applyFill="1" applyAlignment="1">
      <alignment horizontal="right"/>
    </xf>
    <xf numFmtId="192" fontId="20" fillId="4" borderId="0" xfId="0" applyNumberFormat="1" applyFont="1" applyFill="1" applyAlignment="1">
      <alignment horizontal="right"/>
    </xf>
    <xf numFmtId="181" fontId="20" fillId="4" borderId="0" xfId="0" applyNumberFormat="1" applyFont="1" applyFill="1" applyAlignment="1">
      <alignment horizontal="right"/>
    </xf>
    <xf numFmtId="182" fontId="20" fillId="4" borderId="0" xfId="0" applyNumberFormat="1" applyFont="1" applyFill="1" applyAlignment="1">
      <alignment horizontal="right"/>
    </xf>
    <xf numFmtId="182" fontId="21" fillId="14" borderId="0" xfId="0" applyNumberFormat="1" applyFont="1" applyFill="1" applyAlignment="1">
      <alignment horizontal="right"/>
    </xf>
    <xf numFmtId="181" fontId="20" fillId="14" borderId="0" xfId="0" applyNumberFormat="1" applyFont="1" applyFill="1" applyAlignment="1">
      <alignment horizontal="right"/>
    </xf>
    <xf numFmtId="191" fontId="5" fillId="13" borderId="0" xfId="4" applyNumberFormat="1" applyFill="1"/>
    <xf numFmtId="0" fontId="0" fillId="13" borderId="0" xfId="0" applyFont="1" applyFill="1"/>
    <xf numFmtId="164" fontId="4" fillId="6" borderId="0" xfId="0" applyNumberFormat="1" applyFont="1" applyFill="1"/>
    <xf numFmtId="164" fontId="4" fillId="7" borderId="0" xfId="0" applyNumberFormat="1" applyFont="1" applyFill="1"/>
    <xf numFmtId="10" fontId="4" fillId="0" borderId="0" xfId="3" applyNumberFormat="1" applyFont="1"/>
    <xf numFmtId="174" fontId="0" fillId="0" borderId="0" xfId="0" applyNumberFormat="1"/>
    <xf numFmtId="180" fontId="0" fillId="0" borderId="0" xfId="0" applyNumberFormat="1" applyFont="1"/>
    <xf numFmtId="177" fontId="0" fillId="0" borderId="0" xfId="0" applyNumberFormat="1"/>
    <xf numFmtId="169" fontId="0" fillId="9" borderId="0" xfId="3" applyNumberFormat="1" applyFont="1" applyFill="1"/>
    <xf numFmtId="169" fontId="0" fillId="11" borderId="0" xfId="3" applyNumberFormat="1" applyFont="1" applyFill="1"/>
    <xf numFmtId="169" fontId="0" fillId="7" borderId="0" xfId="3" applyNumberFormat="1" applyFont="1" applyFill="1"/>
    <xf numFmtId="169" fontId="0" fillId="4" borderId="0" xfId="3" applyNumberFormat="1" applyFont="1" applyFill="1"/>
    <xf numFmtId="169" fontId="0" fillId="13" borderId="0" xfId="3" applyNumberFormat="1" applyFont="1" applyFill="1"/>
    <xf numFmtId="43" fontId="0" fillId="0" borderId="0" xfId="1" applyFont="1"/>
    <xf numFmtId="168" fontId="2" fillId="0" borderId="0" xfId="0" applyNumberFormat="1" applyFont="1"/>
    <xf numFmtId="180" fontId="3" fillId="3" borderId="0" xfId="0" applyNumberFormat="1" applyFont="1" applyFill="1" applyAlignment="1">
      <alignment horizontal="left"/>
    </xf>
    <xf numFmtId="180" fontId="0" fillId="3" borderId="0" xfId="0" applyNumberFormat="1" applyFill="1"/>
    <xf numFmtId="180" fontId="0" fillId="15" borderId="0" xfId="0" applyNumberFormat="1" applyFill="1" applyAlignment="1">
      <alignment horizontal="left"/>
    </xf>
    <xf numFmtId="180" fontId="0" fillId="15" borderId="0" xfId="0" applyNumberFormat="1" applyFill="1"/>
    <xf numFmtId="190" fontId="0" fillId="13" borderId="0" xfId="0" applyNumberFormat="1" applyFill="1"/>
    <xf numFmtId="187" fontId="0" fillId="13" borderId="0" xfId="0" applyNumberFormat="1" applyFill="1"/>
    <xf numFmtId="9" fontId="4" fillId="13" borderId="2" xfId="3" applyFont="1" applyFill="1" applyBorder="1"/>
    <xf numFmtId="0" fontId="0" fillId="13" borderId="0" xfId="0" applyFill="1" applyAlignment="1">
      <alignment horizontal="center"/>
    </xf>
    <xf numFmtId="0" fontId="20" fillId="13" borderId="0" xfId="0" applyFont="1" applyFill="1" applyAlignment="1">
      <alignment horizontal="center"/>
    </xf>
    <xf numFmtId="0" fontId="0" fillId="14" borderId="0" xfId="0" applyFill="1" applyAlignment="1">
      <alignment horizontal="right"/>
    </xf>
    <xf numFmtId="180" fontId="0" fillId="13" borderId="0" xfId="0" applyNumberFormat="1" applyFont="1" applyFill="1"/>
    <xf numFmtId="0" fontId="3" fillId="4" borderId="0" xfId="0" applyFont="1" applyFill="1" applyBorder="1"/>
    <xf numFmtId="0" fontId="0" fillId="4" borderId="0" xfId="0" applyFont="1" applyFill="1" applyBorder="1"/>
    <xf numFmtId="180" fontId="0" fillId="4" borderId="0" xfId="0" applyNumberFormat="1" applyFont="1" applyFill="1" applyBorder="1" applyAlignment="1">
      <alignment horizontal="center"/>
    </xf>
    <xf numFmtId="180" fontId="0" fillId="4" borderId="0" xfId="0" applyNumberFormat="1" applyFill="1" applyAlignment="1">
      <alignment horizontal="center"/>
    </xf>
    <xf numFmtId="0" fontId="3" fillId="3" borderId="3" xfId="0" applyFont="1" applyFill="1" applyBorder="1"/>
    <xf numFmtId="0" fontId="3" fillId="3" borderId="2" xfId="0" applyFont="1" applyFill="1" applyBorder="1"/>
    <xf numFmtId="180" fontId="3" fillId="3" borderId="2" xfId="0" applyNumberFormat="1" applyFont="1" applyFill="1" applyBorder="1" applyAlignment="1">
      <alignment horizontal="center"/>
    </xf>
    <xf numFmtId="180" fontId="3" fillId="9" borderId="2" xfId="0" applyNumberFormat="1" applyFont="1" applyFill="1" applyBorder="1" applyAlignment="1">
      <alignment horizontal="center"/>
    </xf>
    <xf numFmtId="180" fontId="0" fillId="5" borderId="0" xfId="0" applyNumberFormat="1" applyFont="1" applyFill="1" applyBorder="1" applyAlignment="1">
      <alignment horizontal="center"/>
    </xf>
    <xf numFmtId="180" fontId="0" fillId="5" borderId="0" xfId="0" applyNumberFormat="1" applyFill="1" applyAlignment="1">
      <alignment horizontal="center"/>
    </xf>
    <xf numFmtId="9" fontId="0" fillId="4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43" fontId="3" fillId="13" borderId="0" xfId="1" applyFont="1" applyFill="1"/>
    <xf numFmtId="193" fontId="3" fillId="13" borderId="0" xfId="0" applyNumberFormat="1" applyFont="1" applyFill="1"/>
    <xf numFmtId="194" fontId="3" fillId="13" borderId="0" xfId="0" applyNumberFormat="1" applyFont="1" applyFill="1"/>
    <xf numFmtId="180" fontId="3" fillId="3" borderId="2" xfId="0" quotePrefix="1" applyNumberFormat="1" applyFont="1" applyFill="1" applyBorder="1" applyAlignment="1">
      <alignment horizontal="center"/>
    </xf>
    <xf numFmtId="0" fontId="0" fillId="4" borderId="0" xfId="0" quotePrefix="1" applyFont="1" applyFill="1" applyBorder="1"/>
    <xf numFmtId="180" fontId="3" fillId="13" borderId="0" xfId="0" applyNumberFormat="1" applyFont="1" applyFill="1" applyAlignment="1">
      <alignment horizontal="center"/>
    </xf>
    <xf numFmtId="43" fontId="0" fillId="0" borderId="0" xfId="1" applyFont="1" applyAlignment="1">
      <alignment horizontal="center"/>
    </xf>
    <xf numFmtId="180" fontId="0" fillId="9" borderId="2" xfId="0" applyNumberFormat="1" applyFont="1" applyFill="1" applyBorder="1" applyAlignment="1">
      <alignment horizontal="center"/>
    </xf>
    <xf numFmtId="0" fontId="0" fillId="1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9" fontId="1" fillId="5" borderId="0" xfId="3" applyFont="1" applyFill="1" applyBorder="1" applyAlignment="1">
      <alignment horizontal="center"/>
    </xf>
    <xf numFmtId="190" fontId="0" fillId="13" borderId="0" xfId="0" applyNumberFormat="1" applyFill="1" applyAlignment="1">
      <alignment horizontal="center"/>
    </xf>
    <xf numFmtId="183" fontId="0" fillId="13" borderId="0" xfId="0" applyNumberFormat="1" applyFill="1" applyAlignment="1">
      <alignment horizontal="center"/>
    </xf>
    <xf numFmtId="9" fontId="19" fillId="0" borderId="1" xfId="3" applyFont="1" applyBorder="1" applyAlignment="1">
      <alignment horizontal="center"/>
    </xf>
    <xf numFmtId="9" fontId="4" fillId="0" borderId="2" xfId="3" applyFont="1" applyBorder="1" applyAlignment="1">
      <alignment horizontal="center"/>
    </xf>
    <xf numFmtId="9" fontId="4" fillId="0" borderId="0" xfId="3" applyFont="1" applyAlignment="1">
      <alignment horizontal="center"/>
    </xf>
    <xf numFmtId="165" fontId="4" fillId="0" borderId="0" xfId="3" applyNumberFormat="1" applyFont="1" applyAlignment="1">
      <alignment horizontal="center"/>
    </xf>
    <xf numFmtId="10" fontId="0" fillId="13" borderId="0" xfId="3" applyNumberFormat="1" applyFont="1" applyFill="1"/>
    <xf numFmtId="182" fontId="0" fillId="2" borderId="0" xfId="0" applyNumberFormat="1" applyFill="1" applyAlignment="1">
      <alignment horizontal="right"/>
    </xf>
    <xf numFmtId="165" fontId="0" fillId="2" borderId="0" xfId="3" applyNumberFormat="1" applyFont="1" applyFill="1" applyAlignment="1">
      <alignment horizontal="left"/>
    </xf>
    <xf numFmtId="183" fontId="0" fillId="2" borderId="0" xfId="0" applyNumberFormat="1" applyFill="1"/>
    <xf numFmtId="169" fontId="0" fillId="2" borderId="0" xfId="0" applyNumberFormat="1" applyFill="1"/>
    <xf numFmtId="169" fontId="20" fillId="2" borderId="0" xfId="0" applyNumberFormat="1" applyFont="1" applyFill="1"/>
    <xf numFmtId="10" fontId="0" fillId="2" borderId="0" xfId="3" applyNumberFormat="1" applyFont="1" applyFill="1"/>
    <xf numFmtId="181" fontId="0" fillId="2" borderId="0" xfId="0" applyNumberFormat="1" applyFill="1" applyAlignment="1">
      <alignment horizontal="right"/>
    </xf>
    <xf numFmtId="180" fontId="0" fillId="2" borderId="0" xfId="0" applyNumberFormat="1" applyFill="1" applyAlignment="1">
      <alignment horizontal="left"/>
    </xf>
    <xf numFmtId="182" fontId="0" fillId="2" borderId="0" xfId="0" applyNumberFormat="1" applyFill="1"/>
    <xf numFmtId="173" fontId="0" fillId="2" borderId="0" xfId="0" applyNumberFormat="1" applyFill="1"/>
    <xf numFmtId="195" fontId="23" fillId="13" borderId="0" xfId="0" applyNumberFormat="1" applyFont="1" applyFill="1"/>
    <xf numFmtId="196" fontId="23" fillId="13" borderId="0" xfId="0" applyNumberFormat="1" applyFont="1" applyFill="1"/>
    <xf numFmtId="197" fontId="23" fillId="13" borderId="0" xfId="0" applyNumberFormat="1" applyFont="1" applyFill="1"/>
    <xf numFmtId="0" fontId="4" fillId="13" borderId="2" xfId="0" applyFont="1" applyFill="1" applyBorder="1"/>
    <xf numFmtId="164" fontId="4" fillId="13" borderId="2" xfId="1" applyNumberFormat="1" applyFont="1" applyFill="1" applyBorder="1"/>
    <xf numFmtId="173" fontId="4" fillId="13" borderId="2" xfId="0" applyNumberFormat="1" applyFont="1" applyFill="1" applyBorder="1"/>
    <xf numFmtId="0" fontId="17" fillId="13" borderId="1" xfId="0" applyFont="1" applyFill="1" applyBorder="1"/>
    <xf numFmtId="9" fontId="17" fillId="13" borderId="1" xfId="3" applyFont="1" applyFill="1" applyBorder="1"/>
    <xf numFmtId="173" fontId="17" fillId="13" borderId="1" xfId="0" applyNumberFormat="1" applyFont="1" applyFill="1" applyBorder="1"/>
    <xf numFmtId="9" fontId="4" fillId="13" borderId="1" xfId="3" applyFont="1" applyFill="1" applyBorder="1"/>
    <xf numFmtId="198" fontId="0" fillId="0" borderId="0" xfId="0" applyNumberFormat="1"/>
    <xf numFmtId="0" fontId="0" fillId="13" borderId="0" xfId="0" quotePrefix="1" applyFont="1" applyFill="1"/>
  </cellXfs>
  <cellStyles count="7">
    <cellStyle name="Hyperlinkki" xfId="4" builtinId="8"/>
    <cellStyle name="Normaali" xfId="0" builtinId="0"/>
    <cellStyle name="Normaali 2" xfId="5" xr:uid="{00000000-0005-0000-0000-000002000000}"/>
    <cellStyle name="Normaali 3" xfId="6" xr:uid="{00000000-0005-0000-0000-000003000000}"/>
    <cellStyle name="Pilkku" xfId="1" builtinId="3"/>
    <cellStyle name="Prosenttia" xfId="3" builtinId="5"/>
    <cellStyle name="Valuutta" xfId="2" builtinId="4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247650</xdr:colOff>
      <xdr:row>129</xdr:row>
      <xdr:rowOff>38100</xdr:rowOff>
    </xdr:from>
    <xdr:to>
      <xdr:col>42</xdr:col>
      <xdr:colOff>170243</xdr:colOff>
      <xdr:row>162</xdr:row>
      <xdr:rowOff>56362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0518FE1-7D6A-4AE4-B5CD-A8E21E0E1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7850" y="19278600"/>
          <a:ext cx="9657143" cy="6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247650</xdr:colOff>
      <xdr:row>19</xdr:row>
      <xdr:rowOff>38100</xdr:rowOff>
    </xdr:from>
    <xdr:to>
      <xdr:col>31</xdr:col>
      <xdr:colOff>417893</xdr:colOff>
      <xdr:row>52</xdr:row>
      <xdr:rowOff>56362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8DB5B1A-450D-4AF5-96A2-40CF53BA1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06825" y="3467100"/>
          <a:ext cx="9657143" cy="6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budjetti.vm.fi/indox/sisalto.jsp?year=2016&amp;lang=fi&amp;maindoc=/2016/aky/aky.xml&amp;id=/2016/aky/YksityiskohtaisetPerustelut/11/19/11/11.html" TargetMode="External"/><Relationship Id="rId117" Type="http://schemas.openxmlformats.org/officeDocument/2006/relationships/hyperlink" Target="http://budjetti.vm.fi/indox/sisalto.jsp?year=2016&amp;lang=fi&amp;maindoc=/2016/aky/aky.xml&amp;id=/2016/aky/YksityiskohtaisetPerustelut/11/19/11/11.html" TargetMode="External"/><Relationship Id="rId21" Type="http://schemas.openxmlformats.org/officeDocument/2006/relationships/hyperlink" Target="http://budjetti.vm.fi/indox/sisalto.jsp?year=2016&amp;lang=fi&amp;maindoc=/2016/aky/aky.xml&amp;id=/2016/aky/YksityiskohtaisetPerustelut/11/19/05/05.html" TargetMode="External"/><Relationship Id="rId42" Type="http://schemas.openxmlformats.org/officeDocument/2006/relationships/hyperlink" Target="http://budjetti.vm.fi/indox/sisalto.jsp?year=2016&amp;lang=fi&amp;maindoc=/2016/aky/aky.xml&amp;id=/2016/aky/YksityiskohtaisetPerustelut/12/28/28.html" TargetMode="External"/><Relationship Id="rId47" Type="http://schemas.openxmlformats.org/officeDocument/2006/relationships/hyperlink" Target="http://budjetti.vm.fi/indox/sisalto.jsp?year=2016&amp;lang=fi&amp;maindoc=/2016/aky/aky.xml&amp;id=/2016/aky/YksityiskohtaisetPerustelut/12/28/20/20.html" TargetMode="External"/><Relationship Id="rId63" Type="http://schemas.openxmlformats.org/officeDocument/2006/relationships/hyperlink" Target="http://budjetti.vm.fi/indox/sisalto.jsp?year=2016&amp;lang=fi&amp;maindoc=/2016/aky/aky.xml&amp;id=/2016/aky/YksityiskohtaisetPerustelut/12/30/03/03.html" TargetMode="External"/><Relationship Id="rId68" Type="http://schemas.openxmlformats.org/officeDocument/2006/relationships/hyperlink" Target="http://budjetti.vm.fi/indox/sisalto.jsp?year=2016&amp;lang=fi&amp;maindoc=/2016/aky/aky.xml&amp;id=/2016/aky/YksityiskohtaisetPerustelut/12/30/42/42.html" TargetMode="External"/><Relationship Id="rId84" Type="http://schemas.openxmlformats.org/officeDocument/2006/relationships/hyperlink" Target="http://budjetti.vm.fi/indox/sisalto.jsp?year=2016&amp;lang=fi&amp;maindoc=/2016/aky/aky.xml&amp;id=/2016/aky/YksityiskohtaisetPerustelut/12/33/90/90.html" TargetMode="External"/><Relationship Id="rId89" Type="http://schemas.openxmlformats.org/officeDocument/2006/relationships/hyperlink" Target="http://budjetti.vm.fi/indox/sisalto.jsp?year=2016&amp;lang=fi&amp;maindoc=/2016/aky/aky.xml&amp;id=/2016/aky/YksityiskohtaisetPerustelut/12/35/20/20.html" TargetMode="External"/><Relationship Id="rId112" Type="http://schemas.openxmlformats.org/officeDocument/2006/relationships/hyperlink" Target="http://budjetti.vm.fi/indox/sisalto.jsp?year=2016&amp;lang=fi&amp;maindoc=/2016/aky/aky.xml&amp;id=/2016/aky/YksityiskohtaisetPerustelut/15/03/03.html" TargetMode="External"/><Relationship Id="rId16" Type="http://schemas.openxmlformats.org/officeDocument/2006/relationships/hyperlink" Target="http://budjetti.vm.fi/indox/sisalto.jsp?year=2016&amp;lang=fi&amp;maindoc=/2016/aky/aky.xml&amp;id=/2016/aky/YksityiskohtaisetPerustelut/11/10/07/07.html" TargetMode="External"/><Relationship Id="rId107" Type="http://schemas.openxmlformats.org/officeDocument/2006/relationships/hyperlink" Target="http://budjetti.vm.fi/indox/sisalto.jsp?year=2016&amp;lang=fi&amp;maindoc=/2016/aky/aky.xml&amp;id=/2016/aky/YksityiskohtaisetPerustelut/13/05/01/01.html" TargetMode="External"/><Relationship Id="rId11" Type="http://schemas.openxmlformats.org/officeDocument/2006/relationships/hyperlink" Target="http://budjetti.vm.fi/indox/sisalto.jsp?year=2016&amp;lang=fi&amp;maindoc=/2016/aky/aky.xml&amp;id=/2016/aky/YksityiskohtaisetPerustelut/11/08/08/08.html" TargetMode="External"/><Relationship Id="rId32" Type="http://schemas.openxmlformats.org/officeDocument/2006/relationships/hyperlink" Target="http://budjetti.vm.fi/indox/sisalto.jsp?year=2016&amp;lang=fi&amp;maindoc=/2016/aky/aky.xml&amp;id=/2016/aky/YksityiskohtaisetPerustelut/12/25/15/15.html" TargetMode="External"/><Relationship Id="rId37" Type="http://schemas.openxmlformats.org/officeDocument/2006/relationships/hyperlink" Target="http://budjetti.vm.fi/indox/sisalto.jsp?year=2016&amp;lang=fi&amp;maindoc=/2016/aky/aky.xml&amp;id=/2016/aky/YksityiskohtaisetPerustelut/12/26/99/99.html" TargetMode="External"/><Relationship Id="rId53" Type="http://schemas.openxmlformats.org/officeDocument/2006/relationships/hyperlink" Target="http://budjetti.vm.fi/indox/sisalto.jsp?year=2016&amp;lang=fi&amp;maindoc=/2016/aky/aky.xml&amp;id=/2016/aky/YksityiskohtaisetPerustelut/12/28/92/92.html" TargetMode="External"/><Relationship Id="rId58" Type="http://schemas.openxmlformats.org/officeDocument/2006/relationships/hyperlink" Target="http://budjetti.vm.fi/indox/sisalto.jsp?year=2016&amp;lang=fi&amp;maindoc=/2016/aky/aky.xml&amp;id=/2016/aky/YksityiskohtaisetPerustelut/12/29/88/88.html" TargetMode="External"/><Relationship Id="rId74" Type="http://schemas.openxmlformats.org/officeDocument/2006/relationships/hyperlink" Target="http://budjetti.vm.fi/indox/sisalto.jsp?year=2016&amp;lang=fi&amp;maindoc=/2016/aky/aky.xml&amp;id=/2016/aky/YksityiskohtaisetPerustelut/12/31/99/99.html" TargetMode="External"/><Relationship Id="rId79" Type="http://schemas.openxmlformats.org/officeDocument/2006/relationships/hyperlink" Target="http://budjetti.vm.fi/indox/sisalto.jsp?year=2016&amp;lang=fi&amp;maindoc=/2016/aky/aky.xml&amp;id=/2016/aky/YksityiskohtaisetPerustelut/12/32/50/50.html" TargetMode="External"/><Relationship Id="rId102" Type="http://schemas.openxmlformats.org/officeDocument/2006/relationships/hyperlink" Target="http://budjetti.vm.fi/indox/sisalto.jsp?year=2016&amp;lang=fi&amp;maindoc=/2016/aky/aky.xml&amp;id=/2016/aky/YksityiskohtaisetPerustelut/13/03/03.html" TargetMode="External"/><Relationship Id="rId123" Type="http://schemas.openxmlformats.org/officeDocument/2006/relationships/hyperlink" Target="http://budjetti.vm.fi/indox/sisalto.jsp?year=2016&amp;lang=fi&amp;maindoc=/2016/aky/aky.xml&amp;id=/2016/aky/YksityiskohtaisetPerustelut/15/03/03.html" TargetMode="External"/><Relationship Id="rId5" Type="http://schemas.openxmlformats.org/officeDocument/2006/relationships/hyperlink" Target="http://budjetti.vm.fi/indox/sisalto.jsp?year=2016&amp;lang=fi&amp;maindoc=/2016/aky/aky.xml&amp;id=/2016/aky/YksityiskohtaisetPerustelut/11/04/04.html" TargetMode="External"/><Relationship Id="rId61" Type="http://schemas.openxmlformats.org/officeDocument/2006/relationships/hyperlink" Target="http://budjetti.vm.fi/indox/sisalto.jsp?year=2016&amp;lang=fi&amp;maindoc=/2016/aky/aky.xml&amp;id=/2016/aky/YksityiskohtaisetPerustelut/12/30/01/01.html" TargetMode="External"/><Relationship Id="rId82" Type="http://schemas.openxmlformats.org/officeDocument/2006/relationships/hyperlink" Target="http://budjetti.vm.fi/indox/sisalto.jsp?year=2016&amp;lang=fi&amp;maindoc=/2016/aky/aky.xml&amp;id=/2016/aky/YksityiskohtaisetPerustelut/12/33/02/02.html" TargetMode="External"/><Relationship Id="rId90" Type="http://schemas.openxmlformats.org/officeDocument/2006/relationships/hyperlink" Target="http://budjetti.vm.fi/indox/sisalto.jsp?year=2016&amp;lang=fi&amp;maindoc=/2016/aky/aky.xml&amp;id=/2016/aky/YksityiskohtaisetPerustelut/12/35/99/99.html" TargetMode="External"/><Relationship Id="rId95" Type="http://schemas.openxmlformats.org/officeDocument/2006/relationships/hyperlink" Target="http://budjetti.vm.fi/indox/sisalto.jsp?year=2016&amp;lang=fi&amp;maindoc=/2016/aky/aky.xml&amp;id=/2016/aky/YksityiskohtaisetPerustelut/12/39/10/10.html" TargetMode="External"/><Relationship Id="rId19" Type="http://schemas.openxmlformats.org/officeDocument/2006/relationships/hyperlink" Target="http://budjetti.vm.fi/indox/sisalto.jsp?year=2016&amp;lang=fi&amp;maindoc=/2016/aky/aky.xml&amp;id=/2016/aky/YksityiskohtaisetPerustelut/11/19/03/03.html" TargetMode="External"/><Relationship Id="rId14" Type="http://schemas.openxmlformats.org/officeDocument/2006/relationships/hyperlink" Target="http://budjetti.vm.fi/indox/sisalto.jsp?year=2016&amp;lang=fi&amp;maindoc=/2016/aky/aky.xml&amp;id=/2016/aky/YksityiskohtaisetPerustelut/11/10/05/05.html" TargetMode="External"/><Relationship Id="rId22" Type="http://schemas.openxmlformats.org/officeDocument/2006/relationships/hyperlink" Target="http://budjetti.vm.fi/indox/sisalto.jsp?year=2016&amp;lang=fi&amp;maindoc=/2016/aky/aky.xml&amp;id=/2016/aky/YksityiskohtaisetPerustelut/11/19/06/06.html" TargetMode="External"/><Relationship Id="rId27" Type="http://schemas.openxmlformats.org/officeDocument/2006/relationships/hyperlink" Target="http://budjetti.vm.fi/indox/sisalto.jsp?year=2016&amp;lang=fi&amp;maindoc=/2016/aky/aky.xml&amp;id=/2016/aky/YksityiskohtaisetPerustelut/12/12.html" TargetMode="External"/><Relationship Id="rId30" Type="http://schemas.openxmlformats.org/officeDocument/2006/relationships/hyperlink" Target="http://budjetti.vm.fi/indox/sisalto.jsp?year=2016&amp;lang=fi&amp;maindoc=/2016/aky/aky.xml&amp;id=/2016/aky/YksityiskohtaisetPerustelut/12/25/25.html" TargetMode="External"/><Relationship Id="rId35" Type="http://schemas.openxmlformats.org/officeDocument/2006/relationships/hyperlink" Target="http://budjetti.vm.fi/indox/sisalto.jsp?year=2016&amp;lang=fi&amp;maindoc=/2016/aky/aky.xml&amp;id=/2016/aky/YksityiskohtaisetPerustelut/12/26/26.html" TargetMode="External"/><Relationship Id="rId43" Type="http://schemas.openxmlformats.org/officeDocument/2006/relationships/hyperlink" Target="http://budjetti.vm.fi/indox/sisalto.jsp?year=2016&amp;lang=fi&amp;maindoc=/2016/aky/aky.xml&amp;id=/2016/aky/YksityiskohtaisetPerustelut/12/28/10/10.html" TargetMode="External"/><Relationship Id="rId48" Type="http://schemas.openxmlformats.org/officeDocument/2006/relationships/hyperlink" Target="http://budjetti.vm.fi/indox/sisalto.jsp?year=2016&amp;lang=fi&amp;maindoc=/2016/aky/aky.xml&amp;id=/2016/aky/YksityiskohtaisetPerustelut/12/28/25/25.html" TargetMode="External"/><Relationship Id="rId56" Type="http://schemas.openxmlformats.org/officeDocument/2006/relationships/hyperlink" Target="http://budjetti.vm.fi/indox/sisalto.jsp?year=2016&amp;lang=fi&amp;maindoc=/2016/aky/aky.xml&amp;id=/2016/aky/YksityiskohtaisetPerustelut/12/29/29.html" TargetMode="External"/><Relationship Id="rId64" Type="http://schemas.openxmlformats.org/officeDocument/2006/relationships/hyperlink" Target="http://budjetti.vm.fi/indox/sisalto.jsp?year=2016&amp;lang=fi&amp;maindoc=/2016/aky/aky.xml&amp;id=/2016/aky/YksityiskohtaisetPerustelut/12/30/04/04.html" TargetMode="External"/><Relationship Id="rId69" Type="http://schemas.openxmlformats.org/officeDocument/2006/relationships/hyperlink" Target="http://budjetti.vm.fi/indox/sisalto.jsp?year=2016&amp;lang=fi&amp;maindoc=/2016/aky/aky.xml&amp;id=/2016/aky/YksityiskohtaisetPerustelut/12/30/44/44.html" TargetMode="External"/><Relationship Id="rId77" Type="http://schemas.openxmlformats.org/officeDocument/2006/relationships/hyperlink" Target="http://budjetti.vm.fi/indox/sisalto.jsp?year=2016&amp;lang=fi&amp;maindoc=/2016/aky/aky.xml&amp;id=/2016/aky/YksityiskohtaisetPerustelut/12/32/30/30.html" TargetMode="External"/><Relationship Id="rId100" Type="http://schemas.openxmlformats.org/officeDocument/2006/relationships/hyperlink" Target="http://budjetti.vm.fi/indox/sisalto.jsp?year=2016&amp;lang=fi&amp;maindoc=/2016/aky/aky.xml&amp;id=/2016/aky/YksityiskohtaisetPerustelut/13/01/07/07.html" TargetMode="External"/><Relationship Id="rId105" Type="http://schemas.openxmlformats.org/officeDocument/2006/relationships/hyperlink" Target="http://budjetti.vm.fi/indox/sisalto.jsp?year=2016&amp;lang=fi&amp;maindoc=/2016/aky/aky.xml&amp;id=/2016/aky/YksityiskohtaisetPerustelut/13/04/01/01.html" TargetMode="External"/><Relationship Id="rId113" Type="http://schemas.openxmlformats.org/officeDocument/2006/relationships/hyperlink" Target="http://budjetti.vm.fi/indox/sisalto.jsp?year=2016&amp;lang=fi&amp;maindoc=/2016/aky/aky.xml&amp;id=/2016/aky/YksityiskohtaisetPerustelut/15/03/01/01.html" TargetMode="External"/><Relationship Id="rId118" Type="http://schemas.openxmlformats.org/officeDocument/2006/relationships/hyperlink" Target="http://budjetti.vm.fi/indox/sisalto.jsp?year=2016&amp;lang=fi&amp;maindoc=/2016/aky/aky.xml&amp;id=/2016/aky/YksityiskohtaisetPerustelut/12/12.html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://budjetti.vm.fi/indox/sisalto.jsp?year=2016&amp;lang=fi&amp;maindoc=/2016/aky/aky.xml&amp;id=/2016/aky/YksityiskohtaisetPerustelut/11/04/03/03.html" TargetMode="External"/><Relationship Id="rId51" Type="http://schemas.openxmlformats.org/officeDocument/2006/relationships/hyperlink" Target="http://budjetti.vm.fi/indox/sisalto.jsp?year=2016&amp;lang=fi&amp;maindoc=/2016/aky/aky.xml&amp;id=/2016/aky/YksityiskohtaisetPerustelut/12/28/52/52.html" TargetMode="External"/><Relationship Id="rId72" Type="http://schemas.openxmlformats.org/officeDocument/2006/relationships/hyperlink" Target="http://budjetti.vm.fi/indox/sisalto.jsp?year=2016&amp;lang=fi&amp;maindoc=/2016/aky/aky.xml&amp;id=/2016/aky/YksityiskohtaisetPerustelut/12/31/31.html" TargetMode="External"/><Relationship Id="rId80" Type="http://schemas.openxmlformats.org/officeDocument/2006/relationships/hyperlink" Target="http://budjetti.vm.fi/indox/sisalto.jsp?year=2016&amp;lang=fi&amp;maindoc=/2016/aky/aky.xml&amp;id=/2016/aky/YksityiskohtaisetPerustelut/12/32/99/99.html" TargetMode="External"/><Relationship Id="rId85" Type="http://schemas.openxmlformats.org/officeDocument/2006/relationships/hyperlink" Target="http://budjetti.vm.fi/indox/sisalto.jsp?year=2016&amp;lang=fi&amp;maindoc=/2016/aky/aky.xml&amp;id=/2016/aky/YksityiskohtaisetPerustelut/12/33/98/98.html" TargetMode="External"/><Relationship Id="rId93" Type="http://schemas.openxmlformats.org/officeDocument/2006/relationships/hyperlink" Target="http://budjetti.vm.fi/indox/sisalto.jsp?year=2016&amp;lang=fi&amp;maindoc=/2016/aky/aky.xml&amp;id=/2016/aky/YksityiskohtaisetPerustelut/12/39/02/02.html" TargetMode="External"/><Relationship Id="rId98" Type="http://schemas.openxmlformats.org/officeDocument/2006/relationships/hyperlink" Target="http://budjetti.vm.fi/indox/sisalto.jsp?year=2016&amp;lang=fi&amp;maindoc=/2016/aky/aky.xml&amp;id=/2016/aky/YksityiskohtaisetPerustelut/13/01/04/04.html" TargetMode="External"/><Relationship Id="rId121" Type="http://schemas.openxmlformats.org/officeDocument/2006/relationships/hyperlink" Target="http://budjetti.vm.fi/indox/sisalto.jsp?year=2016&amp;lang=fi&amp;maindoc=/2016/aky/aky.xml&amp;id=/2016/aky/YksityiskohtaisetPerustelut/13/05/01/01.html" TargetMode="External"/><Relationship Id="rId3" Type="http://schemas.openxmlformats.org/officeDocument/2006/relationships/hyperlink" Target="http://budjetti.vm.fi/indox/sisalto.jsp?year=2016&amp;lang=fi&amp;maindoc=/2016/aky/aky.xml&amp;id=/2016/aky/YksityiskohtaisetPerustelut/11/01/01/01.html" TargetMode="External"/><Relationship Id="rId12" Type="http://schemas.openxmlformats.org/officeDocument/2006/relationships/hyperlink" Target="http://budjetti.vm.fi/indox/sisalto.jsp?year=2016&amp;lang=fi&amp;maindoc=/2016/aky/aky.xml&amp;id=/2016/aky/YksityiskohtaisetPerustelut/11/10/10.html" TargetMode="External"/><Relationship Id="rId17" Type="http://schemas.openxmlformats.org/officeDocument/2006/relationships/hyperlink" Target="http://budjetti.vm.fi/indox/sisalto.jsp?year=2016&amp;lang=fi&amp;maindoc=/2016/aky/aky.xml&amp;id=/2016/aky/YksityiskohtaisetPerustelut/11/10/08/08.html" TargetMode="External"/><Relationship Id="rId25" Type="http://schemas.openxmlformats.org/officeDocument/2006/relationships/hyperlink" Target="http://budjetti.vm.fi/indox/sisalto.jsp?year=2016&amp;lang=fi&amp;maindoc=/2016/aky/aky.xml&amp;id=/2016/aky/YksityiskohtaisetPerustelut/11/19/10/10.html" TargetMode="External"/><Relationship Id="rId33" Type="http://schemas.openxmlformats.org/officeDocument/2006/relationships/hyperlink" Target="http://budjetti.vm.fi/indox/sisalto.jsp?year=2016&amp;lang=fi&amp;maindoc=/2016/aky/aky.xml&amp;id=/2016/aky/YksityiskohtaisetPerustelut/12/25/20/20.html" TargetMode="External"/><Relationship Id="rId38" Type="http://schemas.openxmlformats.org/officeDocument/2006/relationships/hyperlink" Target="http://budjetti.vm.fi/indox/sisalto.jsp?year=2016&amp;lang=fi&amp;maindoc=/2016/aky/aky.xml&amp;id=/2016/aky/YksityiskohtaisetPerustelut/12/27/27.html" TargetMode="External"/><Relationship Id="rId46" Type="http://schemas.openxmlformats.org/officeDocument/2006/relationships/hyperlink" Target="http://budjetti.vm.fi/indox/sisalto.jsp?year=2016&amp;lang=fi&amp;maindoc=/2016/aky/aky.xml&amp;id=/2016/aky/YksityiskohtaisetPerustelut/12/28/13/13.html" TargetMode="External"/><Relationship Id="rId59" Type="http://schemas.openxmlformats.org/officeDocument/2006/relationships/hyperlink" Target="http://budjetti.vm.fi/indox/sisalto.jsp?year=2016&amp;lang=fi&amp;maindoc=/2016/aky/aky.xml&amp;id=/2016/aky/YksityiskohtaisetPerustelut/12/29/99/99.html" TargetMode="External"/><Relationship Id="rId67" Type="http://schemas.openxmlformats.org/officeDocument/2006/relationships/hyperlink" Target="http://budjetti.vm.fi/indox/sisalto.jsp?year=2016&amp;lang=fi&amp;maindoc=/2016/aky/aky.xml&amp;id=/2016/aky/YksityiskohtaisetPerustelut/12/30/41/41.html" TargetMode="External"/><Relationship Id="rId103" Type="http://schemas.openxmlformats.org/officeDocument/2006/relationships/hyperlink" Target="http://budjetti.vm.fi/indox/sisalto.jsp?year=2016&amp;lang=fi&amp;maindoc=/2016/aky/aky.xml&amp;id=/2016/aky/YksityiskohtaisetPerustelut/13/03/01/01.html" TargetMode="External"/><Relationship Id="rId108" Type="http://schemas.openxmlformats.org/officeDocument/2006/relationships/hyperlink" Target="http://budjetti.vm.fi/indox/sisalto.jsp?year=2016&amp;lang=fi&amp;maindoc=/2016/aky/aky.xml&amp;id=/2016/aky/YksityiskohtaisetPerustelut/15/15.html" TargetMode="External"/><Relationship Id="rId116" Type="http://schemas.openxmlformats.org/officeDocument/2006/relationships/hyperlink" Target="http://budjetti.vm.fi/indox/sisalto.jsp?year=2016&amp;lang=fi&amp;maindoc=/2016/aky/aky.xml&amp;id=/2016/aky/YksityiskohtaisetPerustelut/11/11.html" TargetMode="External"/><Relationship Id="rId124" Type="http://schemas.openxmlformats.org/officeDocument/2006/relationships/hyperlink" Target="http://budjetti.vm.fi/indox/sisalto.jsp?year=2016&amp;lang=fi&amp;maindoc=/2016/aky/aky.xml&amp;id=/2016/aky/YksityiskohtaisetPerustelut/15/03/01/01.html" TargetMode="External"/><Relationship Id="rId20" Type="http://schemas.openxmlformats.org/officeDocument/2006/relationships/hyperlink" Target="http://budjetti.vm.fi/indox/sisalto.jsp?year=2016&amp;lang=fi&amp;maindoc=/2016/aky/aky.xml&amp;id=/2016/aky/YksityiskohtaisetPerustelut/11/19/04/04.html" TargetMode="External"/><Relationship Id="rId41" Type="http://schemas.openxmlformats.org/officeDocument/2006/relationships/hyperlink" Target="http://budjetti.vm.fi/indox/sisalto.jsp?year=2016&amp;lang=fi&amp;maindoc=/2016/aky/aky.xml&amp;id=/2016/aky/YksityiskohtaisetPerustelut/12/27/99/99.html" TargetMode="External"/><Relationship Id="rId54" Type="http://schemas.openxmlformats.org/officeDocument/2006/relationships/hyperlink" Target="http://budjetti.vm.fi/indox/sisalto.jsp?year=2016&amp;lang=fi&amp;maindoc=/2016/aky/aky.xml&amp;id=/2016/aky/YksityiskohtaisetPerustelut/12/28/93/93.html" TargetMode="External"/><Relationship Id="rId62" Type="http://schemas.openxmlformats.org/officeDocument/2006/relationships/hyperlink" Target="http://budjetti.vm.fi/indox/sisalto.jsp?year=2016&amp;lang=fi&amp;maindoc=/2016/aky/aky.xml&amp;id=/2016/aky/YksityiskohtaisetPerustelut/12/30/02/02.html" TargetMode="External"/><Relationship Id="rId70" Type="http://schemas.openxmlformats.org/officeDocument/2006/relationships/hyperlink" Target="http://budjetti.vm.fi/indox/sisalto.jsp?year=2016&amp;lang=fi&amp;maindoc=/2016/aky/aky.xml&amp;id=/2016/aky/YksityiskohtaisetPerustelut/12/30/45/45.html" TargetMode="External"/><Relationship Id="rId75" Type="http://schemas.openxmlformats.org/officeDocument/2006/relationships/hyperlink" Target="http://budjetti.vm.fi/indox/sisalto.jsp?year=2016&amp;lang=fi&amp;maindoc=/2016/aky/aky.xml&amp;id=/2016/aky/YksityiskohtaisetPerustelut/12/32/32.html" TargetMode="External"/><Relationship Id="rId83" Type="http://schemas.openxmlformats.org/officeDocument/2006/relationships/hyperlink" Target="http://budjetti.vm.fi/indox/sisalto.jsp?year=2016&amp;lang=fi&amp;maindoc=/2016/aky/aky.xml&amp;id=/2016/aky/YksityiskohtaisetPerustelut/12/33/03/03.html" TargetMode="External"/><Relationship Id="rId88" Type="http://schemas.openxmlformats.org/officeDocument/2006/relationships/hyperlink" Target="http://budjetti.vm.fi/indox/sisalto.jsp?year=2016&amp;lang=fi&amp;maindoc=/2016/aky/aky.xml&amp;id=/2016/aky/YksityiskohtaisetPerustelut/12/35/10/10.html" TargetMode="External"/><Relationship Id="rId91" Type="http://schemas.openxmlformats.org/officeDocument/2006/relationships/hyperlink" Target="http://budjetti.vm.fi/indox/sisalto.jsp?year=2016&amp;lang=fi&amp;maindoc=/2016/aky/aky.xml&amp;id=/2016/aky/YksityiskohtaisetPerustelut/12/39/39.html" TargetMode="External"/><Relationship Id="rId96" Type="http://schemas.openxmlformats.org/officeDocument/2006/relationships/hyperlink" Target="http://budjetti.vm.fi/indox/sisalto.jsp?year=2016&amp;lang=fi&amp;maindoc=/2016/aky/aky.xml&amp;id=/2016/aky/YksityiskohtaisetPerustelut/13/13.html" TargetMode="External"/><Relationship Id="rId111" Type="http://schemas.openxmlformats.org/officeDocument/2006/relationships/hyperlink" Target="http://budjetti.vm.fi/indox/sisalto.jsp?year=2016&amp;lang=fi&amp;maindoc=/2016/aky/aky.xml&amp;id=/2016/aky/YksityiskohtaisetPerustelut/15/01/04/04.html" TargetMode="External"/><Relationship Id="rId1" Type="http://schemas.openxmlformats.org/officeDocument/2006/relationships/hyperlink" Target="http://budjetti.vm.fi/indox/sisalto.jsp?year=2016&amp;lang=fi&amp;maindoc=/2016/aky/aky.xml&amp;id=/2016/aky/YksityiskohtaisetPerustelut/11/11.html" TargetMode="External"/><Relationship Id="rId6" Type="http://schemas.openxmlformats.org/officeDocument/2006/relationships/hyperlink" Target="http://budjetti.vm.fi/indox/sisalto.jsp?year=2016&amp;lang=fi&amp;maindoc=/2016/aky/aky.xml&amp;id=/2016/aky/YksityiskohtaisetPerustelut/11/01/04/04.html" TargetMode="External"/><Relationship Id="rId15" Type="http://schemas.openxmlformats.org/officeDocument/2006/relationships/hyperlink" Target="http://budjetti.vm.fi/indox/sisalto.jsp?year=2016&amp;lang=fi&amp;maindoc=/2016/aky/aky.xml&amp;id=/2016/aky/YksityiskohtaisetPerustelut/11/10/06/06.html" TargetMode="External"/><Relationship Id="rId23" Type="http://schemas.openxmlformats.org/officeDocument/2006/relationships/hyperlink" Target="http://budjetti.vm.fi/indox/sisalto.jsp?year=2016&amp;lang=fi&amp;maindoc=/2016/aky/aky.xml&amp;id=/2016/aky/YksityiskohtaisetPerustelut/11/19/08/08.html" TargetMode="External"/><Relationship Id="rId28" Type="http://schemas.openxmlformats.org/officeDocument/2006/relationships/hyperlink" Target="http://budjetti.vm.fi/indox/sisalto.jsp?year=2016&amp;lang=fi&amp;maindoc=/2016/aky/aky.xml&amp;id=/2016/aky/YksityiskohtaisetPerustelut/12/24/24.html" TargetMode="External"/><Relationship Id="rId36" Type="http://schemas.openxmlformats.org/officeDocument/2006/relationships/hyperlink" Target="http://budjetti.vm.fi/indox/sisalto.jsp?year=2016&amp;lang=fi&amp;maindoc=/2016/aky/aky.xml&amp;id=/2016/aky/YksityiskohtaisetPerustelut/12/26/98/98.html" TargetMode="External"/><Relationship Id="rId49" Type="http://schemas.openxmlformats.org/officeDocument/2006/relationships/hyperlink" Target="http://budjetti.vm.fi/indox/sisalto.jsp?year=2016&amp;lang=fi&amp;maindoc=/2016/aky/aky.xml&amp;id=/2016/aky/YksityiskohtaisetPerustelut/12/28/50/50.html" TargetMode="External"/><Relationship Id="rId57" Type="http://schemas.openxmlformats.org/officeDocument/2006/relationships/hyperlink" Target="http://budjetti.vm.fi/indox/sisalto.jsp?year=2016&amp;lang=fi&amp;maindoc=/2016/aky/aky.xml&amp;id=/2016/aky/YksityiskohtaisetPerustelut/12/29/70/70.html" TargetMode="External"/><Relationship Id="rId106" Type="http://schemas.openxmlformats.org/officeDocument/2006/relationships/hyperlink" Target="http://budjetti.vm.fi/indox/sisalto.jsp?year=2016&amp;lang=fi&amp;maindoc=/2016/aky/aky.xml&amp;id=/2016/aky/YksityiskohtaisetPerustelut/13/05/05.html" TargetMode="External"/><Relationship Id="rId114" Type="http://schemas.openxmlformats.org/officeDocument/2006/relationships/hyperlink" Target="http://budjetti.vm.fi/indox/sisalto.jsp?year=2016&amp;lang=fi&amp;maindoc=/2016/aky/aky.xml&amp;id=/2016/aky/YksityiskohtaisetPerustelut/11/04/02/02.html" TargetMode="External"/><Relationship Id="rId119" Type="http://schemas.openxmlformats.org/officeDocument/2006/relationships/hyperlink" Target="http://budjetti.vm.fi/indox/sisalto.jsp?year=2016&amp;lang=fi&amp;maindoc=/2016/aky/aky.xml&amp;id=/2016/aky/YksityiskohtaisetPerustelut/13/13.html" TargetMode="External"/><Relationship Id="rId10" Type="http://schemas.openxmlformats.org/officeDocument/2006/relationships/hyperlink" Target="http://budjetti.vm.fi/indox/sisalto.jsp?year=2016&amp;lang=fi&amp;maindoc=/2016/aky/aky.xml&amp;id=/2016/aky/YksityiskohtaisetPerustelut/11/08/05/05.html" TargetMode="External"/><Relationship Id="rId31" Type="http://schemas.openxmlformats.org/officeDocument/2006/relationships/hyperlink" Target="http://budjetti.vm.fi/indox/sisalto.jsp?year=2016&amp;lang=fi&amp;maindoc=/2016/aky/aky.xml&amp;id=/2016/aky/YksityiskohtaisetPerustelut/12/25/10/10.html" TargetMode="External"/><Relationship Id="rId44" Type="http://schemas.openxmlformats.org/officeDocument/2006/relationships/hyperlink" Target="http://budjetti.vm.fi/indox/sisalto.jsp?year=2016&amp;lang=fi&amp;maindoc=/2016/aky/aky.xml&amp;id=/2016/aky/YksityiskohtaisetPerustelut/12/28/11/11.html" TargetMode="External"/><Relationship Id="rId52" Type="http://schemas.openxmlformats.org/officeDocument/2006/relationships/hyperlink" Target="http://budjetti.vm.fi/indox/sisalto.jsp?year=2016&amp;lang=fi&amp;maindoc=/2016/aky/aky.xml&amp;id=/2016/aky/YksityiskohtaisetPerustelut/12/28/60/60.html" TargetMode="External"/><Relationship Id="rId60" Type="http://schemas.openxmlformats.org/officeDocument/2006/relationships/hyperlink" Target="http://budjetti.vm.fi/indox/sisalto.jsp?year=2016&amp;lang=fi&amp;maindoc=/2016/aky/aky.xml&amp;id=/2016/aky/YksityiskohtaisetPerustelut/12/30/30.html" TargetMode="External"/><Relationship Id="rId65" Type="http://schemas.openxmlformats.org/officeDocument/2006/relationships/hyperlink" Target="http://budjetti.vm.fi/indox/sisalto.jsp?year=2016&amp;lang=fi&amp;maindoc=/2016/aky/aky.xml&amp;id=/2016/aky/YksityiskohtaisetPerustelut/12/30/20/20.html" TargetMode="External"/><Relationship Id="rId73" Type="http://schemas.openxmlformats.org/officeDocument/2006/relationships/hyperlink" Target="http://budjetti.vm.fi/indox/sisalto.jsp?year=2016&amp;lang=fi&amp;maindoc=/2016/aky/aky.xml&amp;id=/2016/aky/YksityiskohtaisetPerustelut/12/31/10/10.html" TargetMode="External"/><Relationship Id="rId78" Type="http://schemas.openxmlformats.org/officeDocument/2006/relationships/hyperlink" Target="http://budjetti.vm.fi/indox/sisalto.jsp?year=2016&amp;lang=fi&amp;maindoc=/2016/aky/aky.xml&amp;id=/2016/aky/YksityiskohtaisetPerustelut/12/32/31/31.html" TargetMode="External"/><Relationship Id="rId81" Type="http://schemas.openxmlformats.org/officeDocument/2006/relationships/hyperlink" Target="http://budjetti.vm.fi/indox/sisalto.jsp?year=2016&amp;lang=fi&amp;maindoc=/2016/aky/aky.xml&amp;id=/2016/aky/YksityiskohtaisetPerustelut/12/33/33.html" TargetMode="External"/><Relationship Id="rId86" Type="http://schemas.openxmlformats.org/officeDocument/2006/relationships/hyperlink" Target="http://budjetti.vm.fi/indox/sisalto.jsp?year=2016&amp;lang=fi&amp;maindoc=/2016/aky/aky.xml&amp;id=/2016/aky/YksityiskohtaisetPerustelut/12/33/99/99.html" TargetMode="External"/><Relationship Id="rId94" Type="http://schemas.openxmlformats.org/officeDocument/2006/relationships/hyperlink" Target="http://budjetti.vm.fi/indox/sisalto.jsp?year=2016&amp;lang=fi&amp;maindoc=/2016/aky/aky.xml&amp;id=/2016/aky/YksityiskohtaisetPerustelut/12/39/04/04.html" TargetMode="External"/><Relationship Id="rId99" Type="http://schemas.openxmlformats.org/officeDocument/2006/relationships/hyperlink" Target="http://budjetti.vm.fi/indox/sisalto.jsp?year=2016&amp;lang=fi&amp;maindoc=/2016/aky/aky.xml&amp;id=/2016/aky/YksityiskohtaisetPerustelut/13/01/05/05.html" TargetMode="External"/><Relationship Id="rId101" Type="http://schemas.openxmlformats.org/officeDocument/2006/relationships/hyperlink" Target="http://budjetti.vm.fi/indox/sisalto.jsp?year=2016&amp;lang=fi&amp;maindoc=/2016/aky/aky.xml&amp;id=/2016/aky/YksityiskohtaisetPerustelut/13/01/09/09.html" TargetMode="External"/><Relationship Id="rId122" Type="http://schemas.openxmlformats.org/officeDocument/2006/relationships/hyperlink" Target="http://budjetti.vm.fi/indox/sisalto.jsp?year=2016&amp;lang=fi&amp;maindoc=/2016/aky/aky.xml&amp;id=/2016/aky/YksityiskohtaisetPerustelut/15/15.html" TargetMode="External"/><Relationship Id="rId4" Type="http://schemas.openxmlformats.org/officeDocument/2006/relationships/hyperlink" Target="http://budjetti.vm.fi/indox/sisalto.jsp?year=2016&amp;lang=fi&amp;maindoc=/2016/aky/aky.xml&amp;id=/2016/aky/YksityiskohtaisetPerustelut/11/01/02/02.html" TargetMode="External"/><Relationship Id="rId9" Type="http://schemas.openxmlformats.org/officeDocument/2006/relationships/hyperlink" Target="http://budjetti.vm.fi/indox/sisalto.jsp?year=2016&amp;lang=fi&amp;maindoc=/2016/aky/aky.xml&amp;id=/2016/aky/YksityiskohtaisetPerustelut/11/08/04/04.html" TargetMode="External"/><Relationship Id="rId13" Type="http://schemas.openxmlformats.org/officeDocument/2006/relationships/hyperlink" Target="http://budjetti.vm.fi/indox/sisalto.jsp?year=2016&amp;lang=fi&amp;maindoc=/2016/aky/aky.xml&amp;id=/2016/aky/YksityiskohtaisetPerustelut/11/10/03/03.html" TargetMode="External"/><Relationship Id="rId18" Type="http://schemas.openxmlformats.org/officeDocument/2006/relationships/hyperlink" Target="http://budjetti.vm.fi/indox/sisalto.jsp?year=2016&amp;lang=fi&amp;maindoc=/2016/aky/aky.xml&amp;id=/2016/aky/YksityiskohtaisetPerustelut/11/19/19.html" TargetMode="External"/><Relationship Id="rId39" Type="http://schemas.openxmlformats.org/officeDocument/2006/relationships/hyperlink" Target="http://budjetti.vm.fi/indox/sisalto.jsp?year=2016&amp;lang=fi&amp;maindoc=/2016/aky/aky.xml&amp;id=/2016/aky/YksityiskohtaisetPerustelut/12/27/01/01.html" TargetMode="External"/><Relationship Id="rId109" Type="http://schemas.openxmlformats.org/officeDocument/2006/relationships/hyperlink" Target="http://budjetti.vm.fi/indox/sisalto.jsp?year=2016&amp;lang=fi&amp;maindoc=/2016/aky/aky.xml&amp;id=/2016/aky/YksityiskohtaisetPerustelut/15/01/01.html" TargetMode="External"/><Relationship Id="rId34" Type="http://schemas.openxmlformats.org/officeDocument/2006/relationships/hyperlink" Target="http://budjetti.vm.fi/indox/sisalto.jsp?year=2016&amp;lang=fi&amp;maindoc=/2016/aky/aky.xml&amp;id=/2016/aky/YksityiskohtaisetPerustelut/12/25/99/99.html" TargetMode="External"/><Relationship Id="rId50" Type="http://schemas.openxmlformats.org/officeDocument/2006/relationships/hyperlink" Target="http://budjetti.vm.fi/indox/sisalto.jsp?year=2016&amp;lang=fi&amp;maindoc=/2016/aky/aky.xml&amp;id=/2016/aky/YksityiskohtaisetPerustelut/12/28/51/51.html" TargetMode="External"/><Relationship Id="rId55" Type="http://schemas.openxmlformats.org/officeDocument/2006/relationships/hyperlink" Target="http://budjetti.vm.fi/indox/sisalto.jsp?year=2016&amp;lang=fi&amp;maindoc=/2016/aky/aky.xml&amp;id=/2016/aky/YksityiskohtaisetPerustelut/12/28/99/99.html" TargetMode="External"/><Relationship Id="rId76" Type="http://schemas.openxmlformats.org/officeDocument/2006/relationships/hyperlink" Target="http://budjetti.vm.fi/indox/sisalto.jsp?year=2016&amp;lang=fi&amp;maindoc=/2016/aky/aky.xml&amp;id=/2016/aky/YksityiskohtaisetPerustelut/12/32/20/20.html" TargetMode="External"/><Relationship Id="rId97" Type="http://schemas.openxmlformats.org/officeDocument/2006/relationships/hyperlink" Target="http://budjetti.vm.fi/indox/sisalto.jsp?year=2016&amp;lang=fi&amp;maindoc=/2016/aky/aky.xml&amp;id=/2016/aky/YksityiskohtaisetPerustelut/13/01/01.html" TargetMode="External"/><Relationship Id="rId104" Type="http://schemas.openxmlformats.org/officeDocument/2006/relationships/hyperlink" Target="http://budjetti.vm.fi/indox/sisalto.jsp?year=2016&amp;lang=fi&amp;maindoc=/2016/aky/aky.xml&amp;id=/2016/aky/YksityiskohtaisetPerustelut/13/04/04.html" TargetMode="External"/><Relationship Id="rId120" Type="http://schemas.openxmlformats.org/officeDocument/2006/relationships/hyperlink" Target="http://budjetti.vm.fi/indox/sisalto.jsp?year=2016&amp;lang=fi&amp;maindoc=/2016/aky/aky.xml&amp;id=/2016/aky/YksityiskohtaisetPerustelut/13/05/05.html" TargetMode="External"/><Relationship Id="rId125" Type="http://schemas.openxmlformats.org/officeDocument/2006/relationships/hyperlink" Target="http://budjetti.vm.fi/indox/sisalto.jsp?year=2016&amp;lang=fi&amp;maindoc=/2016/aky/aky.xml&amp;id=/2016/aky/YksityiskohtaisetPerustelut/15/15.html" TargetMode="External"/><Relationship Id="rId7" Type="http://schemas.openxmlformats.org/officeDocument/2006/relationships/hyperlink" Target="http://budjetti.vm.fi/indox/sisalto.jsp?year=2016&amp;lang=fi&amp;maindoc=/2016/aky/aky.xml&amp;id=/2016/aky/YksityiskohtaisetPerustelut/11/08/08.html" TargetMode="External"/><Relationship Id="rId71" Type="http://schemas.openxmlformats.org/officeDocument/2006/relationships/hyperlink" Target="http://budjetti.vm.fi/indox/sisalto.jsp?year=2016&amp;lang=fi&amp;maindoc=/2016/aky/aky.xml&amp;id=/2016/aky/YksityiskohtaisetPerustelut/12/30/99/99.html" TargetMode="External"/><Relationship Id="rId92" Type="http://schemas.openxmlformats.org/officeDocument/2006/relationships/hyperlink" Target="http://budjetti.vm.fi/indox/sisalto.jsp?year=2016&amp;lang=fi&amp;maindoc=/2016/aky/aky.xml&amp;id=/2016/aky/YksityiskohtaisetPerustelut/12/39/01/01.html" TargetMode="External"/><Relationship Id="rId2" Type="http://schemas.openxmlformats.org/officeDocument/2006/relationships/hyperlink" Target="http://budjetti.vm.fi/indox/sisalto.jsp?year=2016&amp;lang=fi&amp;maindoc=/2016/aky/aky.xml&amp;id=/2016/aky/YksityiskohtaisetPerustelut/11/01/01.html" TargetMode="External"/><Relationship Id="rId29" Type="http://schemas.openxmlformats.org/officeDocument/2006/relationships/hyperlink" Target="http://budjetti.vm.fi/indox/sisalto.jsp?year=2016&amp;lang=fi&amp;maindoc=/2016/aky/aky.xml&amp;id=/2016/aky/YksityiskohtaisetPerustelut/12/24/99/99.html" TargetMode="External"/><Relationship Id="rId24" Type="http://schemas.openxmlformats.org/officeDocument/2006/relationships/hyperlink" Target="http://budjetti.vm.fi/indox/sisalto.jsp?year=2016&amp;lang=fi&amp;maindoc=/2016/aky/aky.xml&amp;id=/2016/aky/YksityiskohtaisetPerustelut/11/19/09/09.html" TargetMode="External"/><Relationship Id="rId40" Type="http://schemas.openxmlformats.org/officeDocument/2006/relationships/hyperlink" Target="http://budjetti.vm.fi/indox/sisalto.jsp?year=2016&amp;lang=fi&amp;maindoc=/2016/aky/aky.xml&amp;id=/2016/aky/YksityiskohtaisetPerustelut/12/27/20/20.html" TargetMode="External"/><Relationship Id="rId45" Type="http://schemas.openxmlformats.org/officeDocument/2006/relationships/hyperlink" Target="http://budjetti.vm.fi/indox/sisalto.jsp?year=2016&amp;lang=fi&amp;maindoc=/2016/aky/aky.xml&amp;id=/2016/aky/YksityiskohtaisetPerustelut/12/28/12/12.html" TargetMode="External"/><Relationship Id="rId66" Type="http://schemas.openxmlformats.org/officeDocument/2006/relationships/hyperlink" Target="http://budjetti.vm.fi/indox/sisalto.jsp?year=2016&amp;lang=fi&amp;maindoc=/2016/aky/aky.xml&amp;id=/2016/aky/YksityiskohtaisetPerustelut/12/30/40/40.html" TargetMode="External"/><Relationship Id="rId87" Type="http://schemas.openxmlformats.org/officeDocument/2006/relationships/hyperlink" Target="http://budjetti.vm.fi/indox/sisalto.jsp?year=2016&amp;lang=fi&amp;maindoc=/2016/aky/aky.xml&amp;id=/2016/aky/YksityiskohtaisetPerustelut/12/35/35.html" TargetMode="External"/><Relationship Id="rId110" Type="http://schemas.openxmlformats.org/officeDocument/2006/relationships/hyperlink" Target="http://budjetti.vm.fi/indox/sisalto.jsp?year=2016&amp;lang=fi&amp;maindoc=/2016/aky/aky.xml&amp;id=/2016/aky/YksityiskohtaisetPerustelut/15/01/02/02.html" TargetMode="External"/><Relationship Id="rId115" Type="http://schemas.openxmlformats.org/officeDocument/2006/relationships/hyperlink" Target="http://budjetti.vm.fi/indox/sisalto.jsp?year=2016&amp;lang=fi&amp;maindoc=/2016/aky/aky.xml&amp;id=/2016/aky/YksityiskohtaisetPerustelut/11/01/03/03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s.fi/autot/art-2000000495044.html" TargetMode="External"/><Relationship Id="rId1" Type="http://schemas.openxmlformats.org/officeDocument/2006/relationships/hyperlink" Target="http://www.is.fi/taloussanomat/oma-raha/art-2000001860402.html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budjetti.vm.fi/indox/sisalto.jsp?year=2016&amp;lang=fi&amp;maindoc=/2016/aky/aky.xml&amp;id=/2016/aky/YksityiskohtaisetPerustelut/15/03/03.html" TargetMode="External"/><Relationship Id="rId299" Type="http://schemas.openxmlformats.org/officeDocument/2006/relationships/hyperlink" Target="http://budjetti.vm.fi/indox/sisalto.jsp?year=2016&amp;lang=fi&amp;maindoc=/2016/aky/aky.xml&amp;id=/2016/aky/YksityiskohtaisetPerustelut/28/70/03/03.html" TargetMode="External"/><Relationship Id="rId671" Type="http://schemas.openxmlformats.org/officeDocument/2006/relationships/hyperlink" Target="http://budjetti.vm.fi/indox/sisalto.jsp?year=2016&amp;lang=fi&amp;maindoc=/2016/aky/aky.xml&amp;id=/2016/aky/YksityiskohtaisetPerustelut/35/20/02/02.html" TargetMode="External"/><Relationship Id="rId21" Type="http://schemas.openxmlformats.org/officeDocument/2006/relationships/hyperlink" Target="http://budjetti.vm.fi/indox/sisalto.jsp?year=2016&amp;lang=fi&amp;maindoc=/2016/aky/aky.xml&amp;id=/2016/aky/YksityiskohtaisetPerustelut/11/10/07/07.html" TargetMode="External"/><Relationship Id="rId63" Type="http://schemas.openxmlformats.org/officeDocument/2006/relationships/hyperlink" Target="http://budjetti.vm.fi/indox/sisalto.jsp?year=2016&amp;lang=fi&amp;maindoc=/2016/aky/aky.xml&amp;id=/2016/aky/YksityiskohtaisetPerustelut/12/29/88/88.html" TargetMode="External"/><Relationship Id="rId159" Type="http://schemas.openxmlformats.org/officeDocument/2006/relationships/hyperlink" Target="http://budjetti.vm.fi/indox/sisalto.jsp?year=2016&amp;lang=fi&amp;maindoc=/2016/aky/aky.xml&amp;id=/2016/aky/YksityiskohtaisetPerustelut/23/20/20.html" TargetMode="External"/><Relationship Id="rId324" Type="http://schemas.openxmlformats.org/officeDocument/2006/relationships/hyperlink" Target="http://budjetti.vm.fi/indox/sisalto.jsp?year=2016&amp;lang=fi&amp;maindoc=/2016/aky/aky.xml&amp;id=/2016/aky/YksityiskohtaisetPerustelut/28/99/95/95.html" TargetMode="External"/><Relationship Id="rId366" Type="http://schemas.openxmlformats.org/officeDocument/2006/relationships/hyperlink" Target="http://budjetti.vm.fi/indox/sisalto.jsp?year=2016&amp;lang=fi&amp;maindoc=/2016/aky/aky.xml&amp;id=/2016/aky/YksityiskohtaisetPerustelut/29/40/20/20.html" TargetMode="External"/><Relationship Id="rId531" Type="http://schemas.openxmlformats.org/officeDocument/2006/relationships/hyperlink" Target="http://budjetti.vm.fi/indox/sisalto.jsp?year=2016&amp;lang=fi&amp;maindoc=/2016/aky/aky.xml&amp;id=/2016/aky/YksityiskohtaisetPerustelut/32/20/82/82.html" TargetMode="External"/><Relationship Id="rId573" Type="http://schemas.openxmlformats.org/officeDocument/2006/relationships/hyperlink" Target="http://budjetti.vm.fi/indox/sisalto.jsp?year=2016&amp;lang=fi&amp;maindoc=/2016/aky/aky.xml&amp;id=/2016/aky/YksityiskohtaisetPerustelut/33/01/06/06.html" TargetMode="External"/><Relationship Id="rId629" Type="http://schemas.openxmlformats.org/officeDocument/2006/relationships/hyperlink" Target="http://budjetti.vm.fi/indox/sisalto.jsp?year=2016&amp;lang=fi&amp;maindoc=/2016/aky/aky.xml&amp;id=/2016/aky/YksityiskohtaisetPerustelut/33/60/34/34.html" TargetMode="External"/><Relationship Id="rId170" Type="http://schemas.openxmlformats.org/officeDocument/2006/relationships/hyperlink" Target="http://budjetti.vm.fi/indox/sisalto.jsp?year=2016&amp;lang=fi&amp;maindoc=/2016/aky/aky.xml&amp;id=/2016/aky/YksityiskohtaisetPerustelut/24/01/29/29.html" TargetMode="External"/><Relationship Id="rId226" Type="http://schemas.openxmlformats.org/officeDocument/2006/relationships/hyperlink" Target="http://budjetti.vm.fi/indox/sisalto.jsp?year=2016&amp;lang=fi&amp;maindoc=/2016/aky/aky.xml&amp;id=/2016/aky/YksityiskohtaisetPerustelut/26/10/20/20.html" TargetMode="External"/><Relationship Id="rId433" Type="http://schemas.openxmlformats.org/officeDocument/2006/relationships/hyperlink" Target="http://budjetti.vm.fi/indox/sisalto.jsp?year=2016&amp;lang=fi&amp;maindoc=/2016/aky/aky.xml&amp;id=/2016/aky/YksityiskohtaisetPerustelut/30/10/64/64.html" TargetMode="External"/><Relationship Id="rId268" Type="http://schemas.openxmlformats.org/officeDocument/2006/relationships/hyperlink" Target="http://budjetti.vm.fi/indox/sisalto.jsp?year=2016&amp;lang=fi&amp;maindoc=/2016/aky/aky.xml&amp;id=/2016/aky/YksityiskohtaisetPerustelut/28/20/02/02.html" TargetMode="External"/><Relationship Id="rId475" Type="http://schemas.openxmlformats.org/officeDocument/2006/relationships/hyperlink" Target="http://budjetti.vm.fi/indox/sisalto.jsp?year=2016&amp;lang=fi&amp;maindoc=/2016/aky/aky.xml&amp;id=/2016/aky/YksityiskohtaisetPerustelut/31/01/29/29.html" TargetMode="External"/><Relationship Id="rId640" Type="http://schemas.openxmlformats.org/officeDocument/2006/relationships/hyperlink" Target="http://budjetti.vm.fi/indox/sisalto.jsp?year=2016&amp;lang=fi&amp;maindoc=/2016/aky/aky.xml&amp;id=/2016/aky/YksityiskohtaisetPerustelut/33/70/22/22.html" TargetMode="External"/><Relationship Id="rId682" Type="http://schemas.openxmlformats.org/officeDocument/2006/relationships/printerSettings" Target="../printerSettings/printerSettings6.bin"/><Relationship Id="rId32" Type="http://schemas.openxmlformats.org/officeDocument/2006/relationships/hyperlink" Target="http://budjetti.vm.fi/indox/sisalto.jsp?year=2016&amp;lang=fi&amp;maindoc=/2016/aky/aky.xml&amp;id=/2016/aky/YksityiskohtaisetPerustelut/12/12.html" TargetMode="External"/><Relationship Id="rId74" Type="http://schemas.openxmlformats.org/officeDocument/2006/relationships/hyperlink" Target="http://budjetti.vm.fi/indox/sisalto.jsp?year=2016&amp;lang=fi&amp;maindoc=/2016/aky/aky.xml&amp;id=/2016/aky/YksityiskohtaisetPerustelut/12/30/44/44.html" TargetMode="External"/><Relationship Id="rId128" Type="http://schemas.openxmlformats.org/officeDocument/2006/relationships/hyperlink" Target="http://budjetti.vm.fi/indox/sisalto.jsp?year=2016&amp;lang=fi&amp;maindoc=/2016/aky/aky.xml&amp;id=/2016/aky/YksityiskohtaisetPerustelut/21/10/74/74.html" TargetMode="External"/><Relationship Id="rId335" Type="http://schemas.openxmlformats.org/officeDocument/2006/relationships/hyperlink" Target="http://budjetti.vm.fi/indox/sisalto.jsp?year=2016&amp;lang=fi&amp;maindoc=/2016/aky/aky.xml&amp;id=/2016/aky/YksityiskohtaisetPerustelut/29/01/22/22.html" TargetMode="External"/><Relationship Id="rId377" Type="http://schemas.openxmlformats.org/officeDocument/2006/relationships/hyperlink" Target="http://budjetti.vm.fi/indox/sisalto.jsp?year=2016&amp;lang=fi&amp;maindoc=/2016/aky/aky.xml&amp;id=/2016/aky/YksityiskohtaisetPerustelut/29/70/52/52.html" TargetMode="External"/><Relationship Id="rId500" Type="http://schemas.openxmlformats.org/officeDocument/2006/relationships/hyperlink" Target="http://budjetti.vm.fi/indox/sisalto.jsp?year=2016&amp;lang=fi&amp;maindoc=/2016/aky/aky.xml&amp;id=/2016/aky/YksityiskohtaisetPerustelut/31/40/60/60.html" TargetMode="External"/><Relationship Id="rId542" Type="http://schemas.openxmlformats.org/officeDocument/2006/relationships/hyperlink" Target="http://budjetti.vm.fi/indox/sisalto.jsp?year=2016&amp;lang=fi&amp;maindoc=/2016/aky/aky.xml&amp;id=/2016/aky/YksityiskohtaisetPerustelut/32/40/40.html" TargetMode="External"/><Relationship Id="rId584" Type="http://schemas.openxmlformats.org/officeDocument/2006/relationships/hyperlink" Target="http://budjetti.vm.fi/indox/sisalto.jsp?year=2016&amp;lang=fi&amp;maindoc=/2016/aky/aky.xml&amp;id=/2016/aky/YksityiskohtaisetPerustelut/33/03/03.html" TargetMode="External"/><Relationship Id="rId5" Type="http://schemas.openxmlformats.org/officeDocument/2006/relationships/hyperlink" Target="http://budjetti.vm.fi/indox/sisalto.jsp?year=2016&amp;lang=fi&amp;maindoc=/2016/aky/aky.xml&amp;id=/2016/aky/YksityiskohtaisetPerustelut/11/01/03/03.html" TargetMode="External"/><Relationship Id="rId181" Type="http://schemas.openxmlformats.org/officeDocument/2006/relationships/hyperlink" Target="http://budjetti.vm.fi/indox/sisalto.jsp?year=2016&amp;lang=fi&amp;maindoc=/2016/aky/aky.xml&amp;id=/2016/aky/YksityiskohtaisetPerustelut/24/90/50/50.html" TargetMode="External"/><Relationship Id="rId237" Type="http://schemas.openxmlformats.org/officeDocument/2006/relationships/hyperlink" Target="http://budjetti.vm.fi/indox/sisalto.jsp?year=2016&amp;lang=fi&amp;maindoc=/2016/aky/aky.xml&amp;id=/2016/aky/YksityiskohtaisetPerustelut/26/40/01/01.html" TargetMode="External"/><Relationship Id="rId402" Type="http://schemas.openxmlformats.org/officeDocument/2006/relationships/hyperlink" Target="http://budjetti.vm.fi/indox/sisalto.jsp?year=2016&amp;lang=fi&amp;maindoc=/2016/aky/aky.xml&amp;id=/2016/aky/YksityiskohtaisetPerustelut/29/80/59/59.html" TargetMode="External"/><Relationship Id="rId279" Type="http://schemas.openxmlformats.org/officeDocument/2006/relationships/hyperlink" Target="http://budjetti.vm.fi/indox/sisalto.jsp?year=2016&amp;lang=fi&amp;maindoc=/2016/aky/aky.xml&amp;id=/2016/aky/YksityiskohtaisetPerustelut/28/30/03/03.html" TargetMode="External"/><Relationship Id="rId444" Type="http://schemas.openxmlformats.org/officeDocument/2006/relationships/hyperlink" Target="http://budjetti.vm.fi/indox/sisalto.jsp?year=2016&amp;lang=fi&amp;maindoc=/2016/aky/aky.xml&amp;id=/2016/aky/YksityiskohtaisetPerustelut/30/20/47/47.html" TargetMode="External"/><Relationship Id="rId486" Type="http://schemas.openxmlformats.org/officeDocument/2006/relationships/hyperlink" Target="http://budjetti.vm.fi/indox/sisalto.jsp?year=2016&amp;lang=fi&amp;maindoc=/2016/aky/aky.xml&amp;id=/2016/aky/YksityiskohtaisetPerustelut/31/20/20.html" TargetMode="External"/><Relationship Id="rId651" Type="http://schemas.openxmlformats.org/officeDocument/2006/relationships/hyperlink" Target="http://budjetti.vm.fi/indox/sisalto.jsp?year=2016&amp;lang=fi&amp;maindoc=/2016/aky/aky.xml&amp;id=/2016/aky/YksityiskohtaisetPerustelut/35/35.html" TargetMode="External"/><Relationship Id="rId43" Type="http://schemas.openxmlformats.org/officeDocument/2006/relationships/hyperlink" Target="http://budjetti.vm.fi/indox/sisalto.jsp?year=2016&amp;lang=fi&amp;maindoc=/2016/aky/aky.xml&amp;id=/2016/aky/YksityiskohtaisetPerustelut/12/27/27.html" TargetMode="External"/><Relationship Id="rId139" Type="http://schemas.openxmlformats.org/officeDocument/2006/relationships/hyperlink" Target="http://budjetti.vm.fi/indox/sisalto.jsp?year=2016&amp;lang=fi&amp;maindoc=/2016/aky/aky.xml&amp;id=/2016/aky/YksityiskohtaisetPerustelut/22/22.html" TargetMode="External"/><Relationship Id="rId290" Type="http://schemas.openxmlformats.org/officeDocument/2006/relationships/hyperlink" Target="http://budjetti.vm.fi/indox/sisalto.jsp?year=2016&amp;lang=fi&amp;maindoc=/2016/aky/aky.xml&amp;id=/2016/aky/YksityiskohtaisetPerustelut/28/50/95/95.html" TargetMode="External"/><Relationship Id="rId304" Type="http://schemas.openxmlformats.org/officeDocument/2006/relationships/hyperlink" Target="http://budjetti.vm.fi/indox/sisalto.jsp?year=2016&amp;lang=fi&amp;maindoc=/2016/aky/aky.xml&amp;id=/2016/aky/YksityiskohtaisetPerustelut/28/80/30/30.html" TargetMode="External"/><Relationship Id="rId346" Type="http://schemas.openxmlformats.org/officeDocument/2006/relationships/hyperlink" Target="http://budjetti.vm.fi/indox/sisalto.jsp?year=2016&amp;lang=fi&amp;maindoc=/2016/aky/aky.xml&amp;id=/2016/aky/YksityiskohtaisetPerustelut/29/10/30/30.html" TargetMode="External"/><Relationship Id="rId388" Type="http://schemas.openxmlformats.org/officeDocument/2006/relationships/hyperlink" Target="http://budjetti.vm.fi/indox/sisalto.jsp?year=2016&amp;lang=fi&amp;maindoc=/2016/aky/aky.xml&amp;id=/2016/aky/YksityiskohtaisetPerustelut/29/80/20/20.html" TargetMode="External"/><Relationship Id="rId511" Type="http://schemas.openxmlformats.org/officeDocument/2006/relationships/hyperlink" Target="http://budjetti.vm.fi/indox/sisalto.jsp?year=2016&amp;lang=fi&amp;maindoc=/2016/aky/aky.xml&amp;id=/2016/aky/YksityiskohtaisetPerustelut/32/01/40/40.html" TargetMode="External"/><Relationship Id="rId553" Type="http://schemas.openxmlformats.org/officeDocument/2006/relationships/hyperlink" Target="http://budjetti.vm.fi/indox/sisalto.jsp?year=2016&amp;lang=fi&amp;maindoc=/2016/aky/aky.xml&amp;id=/2016/aky/YksityiskohtaisetPerustelut/32/50/64/64.html" TargetMode="External"/><Relationship Id="rId609" Type="http://schemas.openxmlformats.org/officeDocument/2006/relationships/hyperlink" Target="http://budjetti.vm.fi/indox/sisalto.jsp?year=2016&amp;lang=fi&amp;maindoc=/2016/aky/aky.xml&amp;id=/2016/aky/YksityiskohtaisetPerustelut/33/40/51/51.html" TargetMode="External"/><Relationship Id="rId85" Type="http://schemas.openxmlformats.org/officeDocument/2006/relationships/hyperlink" Target="http://budjetti.vm.fi/indox/sisalto.jsp?year=2016&amp;lang=fi&amp;maindoc=/2016/aky/aky.xml&amp;id=/2016/aky/YksityiskohtaisetPerustelut/12/32/99/99.html" TargetMode="External"/><Relationship Id="rId150" Type="http://schemas.openxmlformats.org/officeDocument/2006/relationships/hyperlink" Target="http://budjetti.vm.fi/indox/sisalto.jsp?year=2016&amp;lang=fi&amp;maindoc=/2016/aky/aky.xml&amp;id=/2016/aky/YksityiskohtaisetPerustelut/23/01/01/01.html" TargetMode="External"/><Relationship Id="rId192" Type="http://schemas.openxmlformats.org/officeDocument/2006/relationships/hyperlink" Target="http://budjetti.vm.fi/indox/sisalto.jsp?year=2016&amp;lang=fi&amp;maindoc=/2016/aky/aky.xml&amp;id=/2016/aky/YksityiskohtaisetPerustelut/25/01/20/20.html" TargetMode="External"/><Relationship Id="rId206" Type="http://schemas.openxmlformats.org/officeDocument/2006/relationships/hyperlink" Target="http://budjetti.vm.fi/indox/sisalto.jsp?year=2016&amp;lang=fi&amp;maindoc=/2016/aky/aky.xml&amp;id=/2016/aky/YksityiskohtaisetPerustelut/25/30/30.html" TargetMode="External"/><Relationship Id="rId413" Type="http://schemas.openxmlformats.org/officeDocument/2006/relationships/hyperlink" Target="http://budjetti.vm.fi/indox/sisalto.jsp?year=2016&amp;lang=fi&amp;maindoc=/2016/aky/aky.xml&amp;id=/2016/aky/YksityiskohtaisetPerustelut/29/91/52/52.html" TargetMode="External"/><Relationship Id="rId595" Type="http://schemas.openxmlformats.org/officeDocument/2006/relationships/hyperlink" Target="http://budjetti.vm.fi/indox/sisalto.jsp?year=2016&amp;lang=fi&amp;maindoc=/2016/aky/aky.xml&amp;id=/2016/aky/YksityiskohtaisetPerustelut/33/10/55/55.html" TargetMode="External"/><Relationship Id="rId248" Type="http://schemas.openxmlformats.org/officeDocument/2006/relationships/hyperlink" Target="http://budjetti.vm.fi/indox/sisalto.jsp?year=2016&amp;lang=fi&amp;maindoc=/2016/aky/aky.xml&amp;id=/2016/aky/YksityiskohtaisetPerustelut/27/10/18/18.html" TargetMode="External"/><Relationship Id="rId455" Type="http://schemas.openxmlformats.org/officeDocument/2006/relationships/hyperlink" Target="http://budjetti.vm.fi/indox/sisalto.jsp?year=2016&amp;lang=fi&amp;maindoc=/2016/aky/aky.xml&amp;id=/2016/aky/YksityiskohtaisetPerustelut/30/40/42/42.html" TargetMode="External"/><Relationship Id="rId497" Type="http://schemas.openxmlformats.org/officeDocument/2006/relationships/hyperlink" Target="http://budjetti.vm.fi/indox/sisalto.jsp?year=2016&amp;lang=fi&amp;maindoc=/2016/aky/aky.xml&amp;id=/2016/aky/YksityiskohtaisetPerustelut/31/40/43/43.html" TargetMode="External"/><Relationship Id="rId620" Type="http://schemas.openxmlformats.org/officeDocument/2006/relationships/hyperlink" Target="http://budjetti.vm.fi/indox/sisalto.jsp?year=2016&amp;lang=fi&amp;maindoc=/2016/aky/aky.xml&amp;id=/2016/aky/YksityiskohtaisetPerustelut/33/50/54/54.html" TargetMode="External"/><Relationship Id="rId662" Type="http://schemas.openxmlformats.org/officeDocument/2006/relationships/hyperlink" Target="http://budjetti.vm.fi/indox/sisalto.jsp?year=2016&amp;lang=fi&amp;maindoc=/2016/aky/aky.xml&amp;id=/2016/aky/YksityiskohtaisetPerustelut/35/10/60/60.html" TargetMode="External"/><Relationship Id="rId12" Type="http://schemas.openxmlformats.org/officeDocument/2006/relationships/hyperlink" Target="http://budjetti.vm.fi/indox/sisalto.jsp?year=2016&amp;lang=fi&amp;maindoc=/2016/aky/aky.xml&amp;id=/2016/aky/YksityiskohtaisetPerustelut/11/08/01/01.html" TargetMode="External"/><Relationship Id="rId108" Type="http://schemas.openxmlformats.org/officeDocument/2006/relationships/hyperlink" Target="http://budjetti.vm.fi/indox/sisalto.jsp?year=2016&amp;lang=fi&amp;maindoc=/2016/aky/aky.xml&amp;id=/2016/aky/YksityiskohtaisetPerustelut/13/03/01/01.html" TargetMode="External"/><Relationship Id="rId315" Type="http://schemas.openxmlformats.org/officeDocument/2006/relationships/hyperlink" Target="http://budjetti.vm.fi/indox/sisalto.jsp?year=2016&amp;lang=fi&amp;maindoc=/2016/aky/aky.xml&amp;id=/2016/aky/YksityiskohtaisetPerustelut/28/92/92.html" TargetMode="External"/><Relationship Id="rId357" Type="http://schemas.openxmlformats.org/officeDocument/2006/relationships/hyperlink" Target="http://budjetti.vm.fi/indox/sisalto.jsp?year=2016&amp;lang=fi&amp;maindoc=/2016/aky/aky.xml&amp;id=/2016/aky/YksityiskohtaisetPerustelut/29/30/32/32.html" TargetMode="External"/><Relationship Id="rId522" Type="http://schemas.openxmlformats.org/officeDocument/2006/relationships/hyperlink" Target="http://budjetti.vm.fi/indox/sisalto.jsp?year=2016&amp;lang=fi&amp;maindoc=/2016/aky/aky.xml&amp;id=/2016/aky/YksityiskohtaisetPerustelut/32/20/40/40.html" TargetMode="External"/><Relationship Id="rId54" Type="http://schemas.openxmlformats.org/officeDocument/2006/relationships/hyperlink" Target="http://budjetti.vm.fi/indox/sisalto.jsp?year=2016&amp;lang=fi&amp;maindoc=/2016/aky/aky.xml&amp;id=/2016/aky/YksityiskohtaisetPerustelut/12/28/50/50.html" TargetMode="External"/><Relationship Id="rId96" Type="http://schemas.openxmlformats.org/officeDocument/2006/relationships/hyperlink" Target="http://budjetti.vm.fi/indox/sisalto.jsp?year=2016&amp;lang=fi&amp;maindoc=/2016/aky/aky.xml&amp;id=/2016/aky/YksityiskohtaisetPerustelut/12/39/39.html" TargetMode="External"/><Relationship Id="rId161" Type="http://schemas.openxmlformats.org/officeDocument/2006/relationships/hyperlink" Target="http://budjetti.vm.fi/indox/sisalto.jsp?year=2016&amp;lang=fi&amp;maindoc=/2016/aky/aky.xml&amp;id=/2016/aky/YksityiskohtaisetPerustelut/23/30/30.html" TargetMode="External"/><Relationship Id="rId217" Type="http://schemas.openxmlformats.org/officeDocument/2006/relationships/hyperlink" Target="http://budjetti.vm.fi/indox/sisalto.jsp?year=2016&amp;lang=fi&amp;maindoc=/2016/aky/aky.xml&amp;id=/2016/aky/YksityiskohtaisetPerustelut/26/01/20/20.html" TargetMode="External"/><Relationship Id="rId399" Type="http://schemas.openxmlformats.org/officeDocument/2006/relationships/hyperlink" Target="http://budjetti.vm.fi/indox/sisalto.jsp?year=2016&amp;lang=fi&amp;maindoc=/2016/aky/aky.xml&amp;id=/2016/aky/YksityiskohtaisetPerustelut/29/80/54/54.html" TargetMode="External"/><Relationship Id="rId564" Type="http://schemas.openxmlformats.org/officeDocument/2006/relationships/hyperlink" Target="http://budjetti.vm.fi/indox/sisalto.jsp?year=2016&amp;lang=fi&amp;maindoc=/2016/aky/aky.xml&amp;id=/2016/aky/YksityiskohtaisetPerustelut/32/70/03/03.html" TargetMode="External"/><Relationship Id="rId259" Type="http://schemas.openxmlformats.org/officeDocument/2006/relationships/hyperlink" Target="http://budjetti.vm.fi/indox/sisalto.jsp?year=2016&amp;lang=fi&amp;maindoc=/2016/aky/aky.xml&amp;id=/2016/aky/YksityiskohtaisetPerustelut/28/01/29/29.html" TargetMode="External"/><Relationship Id="rId424" Type="http://schemas.openxmlformats.org/officeDocument/2006/relationships/hyperlink" Target="http://budjetti.vm.fi/indox/sisalto.jsp?year=2016&amp;lang=fi&amp;maindoc=/2016/aky/aky.xml&amp;id=/2016/aky/YksityiskohtaisetPerustelut/30/10/41/41.html" TargetMode="External"/><Relationship Id="rId466" Type="http://schemas.openxmlformats.org/officeDocument/2006/relationships/hyperlink" Target="http://budjetti.vm.fi/indox/sisalto.jsp?year=2016&amp;lang=fi&amp;maindoc=/2016/aky/aky.xml&amp;id=/2016/aky/YksityiskohtaisetPerustelut/30/64/64.html" TargetMode="External"/><Relationship Id="rId631" Type="http://schemas.openxmlformats.org/officeDocument/2006/relationships/hyperlink" Target="http://budjetti.vm.fi/indox/sisalto.jsp?year=2016&amp;lang=fi&amp;maindoc=/2016/aky/aky.xml&amp;id=/2016/aky/YksityiskohtaisetPerustelut/33/60/36/36.html" TargetMode="External"/><Relationship Id="rId673" Type="http://schemas.openxmlformats.org/officeDocument/2006/relationships/hyperlink" Target="http://budjetti.vm.fi/indox/sisalto.jsp?year=2016&amp;lang=fi&amp;maindoc=/2016/aky/aky.xml&amp;id=/2016/aky/YksityiskohtaisetPerustelut/35/20/60/60.html" TargetMode="External"/><Relationship Id="rId23" Type="http://schemas.openxmlformats.org/officeDocument/2006/relationships/hyperlink" Target="http://budjetti.vm.fi/indox/sisalto.jsp?year=2016&amp;lang=fi&amp;maindoc=/2016/aky/aky.xml&amp;id=/2016/aky/YksityiskohtaisetPerustelut/11/19/19.html" TargetMode="External"/><Relationship Id="rId119" Type="http://schemas.openxmlformats.org/officeDocument/2006/relationships/hyperlink" Target="http://budjetti.vm.fi/indox/sisalto.jsp?year=2016&amp;lang=fi&amp;maindoc=/2016/aky/aky.xml&amp;id=/2016/aky/YksityiskohtaisetPerustelut/21/21.html" TargetMode="External"/><Relationship Id="rId270" Type="http://schemas.openxmlformats.org/officeDocument/2006/relationships/hyperlink" Target="http://budjetti.vm.fi/indox/sisalto.jsp?year=2016&amp;lang=fi&amp;maindoc=/2016/aky/aky.xml&amp;id=/2016/aky/YksityiskohtaisetPerustelut/28/20/07/07.html" TargetMode="External"/><Relationship Id="rId326" Type="http://schemas.openxmlformats.org/officeDocument/2006/relationships/hyperlink" Target="http://budjetti.vm.fi/indox/sisalto.jsp?year=2016&amp;lang=fi&amp;maindoc=/2016/aky/aky.xml&amp;id=/2016/aky/YksityiskohtaisetPerustelut/28/99/97/97.html" TargetMode="External"/><Relationship Id="rId533" Type="http://schemas.openxmlformats.org/officeDocument/2006/relationships/hyperlink" Target="http://budjetti.vm.fi/indox/sisalto.jsp?year=2016&amp;lang=fi&amp;maindoc=/2016/aky/aky.xml&amp;id=/2016/aky/YksityiskohtaisetPerustelut/32/20/87/87.html" TargetMode="External"/><Relationship Id="rId65" Type="http://schemas.openxmlformats.org/officeDocument/2006/relationships/hyperlink" Target="http://budjetti.vm.fi/indox/sisalto.jsp?year=2016&amp;lang=fi&amp;maindoc=/2016/aky/aky.xml&amp;id=/2016/aky/YksityiskohtaisetPerustelut/12/30/30.html" TargetMode="External"/><Relationship Id="rId130" Type="http://schemas.openxmlformats.org/officeDocument/2006/relationships/hyperlink" Target="http://budjetti.vm.fi/indox/sisalto.jsp?year=2016&amp;lang=fi&amp;maindoc=/2016/aky/aky.xml&amp;id=/2016/aky/YksityiskohtaisetPerustelut/21/20/01/01.html" TargetMode="External"/><Relationship Id="rId368" Type="http://schemas.openxmlformats.org/officeDocument/2006/relationships/hyperlink" Target="http://budjetti.vm.fi/indox/sisalto.jsp?year=2016&amp;lang=fi&amp;maindoc=/2016/aky/aky.xml&amp;id=/2016/aky/YksityiskohtaisetPerustelut/29/40/50/50.html" TargetMode="External"/><Relationship Id="rId575" Type="http://schemas.openxmlformats.org/officeDocument/2006/relationships/hyperlink" Target="http://budjetti.vm.fi/indox/sisalto.jsp?year=2016&amp;lang=fi&amp;maindoc=/2016/aky/aky.xml&amp;id=/2016/aky/YksityiskohtaisetPerustelut/33/01/29/29.html" TargetMode="External"/><Relationship Id="rId172" Type="http://schemas.openxmlformats.org/officeDocument/2006/relationships/hyperlink" Target="http://budjetti.vm.fi/indox/sisalto.jsp?year=2016&amp;lang=fi&amp;maindoc=/2016/aky/aky.xml&amp;id=/2016/aky/YksityiskohtaisetPerustelut/24/01/76/76.html" TargetMode="External"/><Relationship Id="rId228" Type="http://schemas.openxmlformats.org/officeDocument/2006/relationships/hyperlink" Target="http://budjetti.vm.fi/indox/sisalto.jsp?year=2016&amp;lang=fi&amp;maindoc=/2016/aky/aky.xml&amp;id=/2016/aky/YksityiskohtaisetPerustelut/26/20/20.html" TargetMode="External"/><Relationship Id="rId435" Type="http://schemas.openxmlformats.org/officeDocument/2006/relationships/hyperlink" Target="http://budjetti.vm.fi/indox/sisalto.jsp?year=2016&amp;lang=fi&amp;maindoc=/2016/aky/aky.xml&amp;id=/2016/aky/YksityiskohtaisetPerustelut/30/20/02/02.html" TargetMode="External"/><Relationship Id="rId477" Type="http://schemas.openxmlformats.org/officeDocument/2006/relationships/hyperlink" Target="http://budjetti.vm.fi/indox/sisalto.jsp?year=2016&amp;lang=fi&amp;maindoc=/2016/aky/aky.xml&amp;id=/2016/aky/YksityiskohtaisetPerustelut/31/10/01/01.html" TargetMode="External"/><Relationship Id="rId600" Type="http://schemas.openxmlformats.org/officeDocument/2006/relationships/hyperlink" Target="http://budjetti.vm.fi/indox/sisalto.jsp?year=2016&amp;lang=fi&amp;maindoc=/2016/aky/aky.xml&amp;id=/2016/aky/YksityiskohtaisetPerustelut/33/20/50/50.html" TargetMode="External"/><Relationship Id="rId642" Type="http://schemas.openxmlformats.org/officeDocument/2006/relationships/hyperlink" Target="http://budjetti.vm.fi/indox/sisalto.jsp?year=2016&amp;lang=fi&amp;maindoc=/2016/aky/aky.xml&amp;id=/2016/aky/YksityiskohtaisetPerustelut/33/70/51/51.html" TargetMode="External"/><Relationship Id="rId281" Type="http://schemas.openxmlformats.org/officeDocument/2006/relationships/hyperlink" Target="http://budjetti.vm.fi/indox/sisalto.jsp?year=2016&amp;lang=fi&amp;maindoc=/2016/aky/aky.xml&amp;id=/2016/aky/YksityiskohtaisetPerustelut/28/40/01/01.html" TargetMode="External"/><Relationship Id="rId337" Type="http://schemas.openxmlformats.org/officeDocument/2006/relationships/hyperlink" Target="http://budjetti.vm.fi/indox/sisalto.jsp?year=2016&amp;lang=fi&amp;maindoc=/2016/aky/aky.xml&amp;id=/2016/aky/YksityiskohtaisetPerustelut/29/01/50/50.html" TargetMode="External"/><Relationship Id="rId502" Type="http://schemas.openxmlformats.org/officeDocument/2006/relationships/hyperlink" Target="http://budjetti.vm.fi/indox/sisalto.jsp?year=2016&amp;lang=fi&amp;maindoc=/2016/aky/aky.xml&amp;id=/2016/aky/YksityiskohtaisetPerustelut/31/50/01/01.html" TargetMode="External"/><Relationship Id="rId34" Type="http://schemas.openxmlformats.org/officeDocument/2006/relationships/hyperlink" Target="http://budjetti.vm.fi/indox/sisalto.jsp?year=2016&amp;lang=fi&amp;maindoc=/2016/aky/aky.xml&amp;id=/2016/aky/YksityiskohtaisetPerustelut/12/24/99/99.html" TargetMode="External"/><Relationship Id="rId76" Type="http://schemas.openxmlformats.org/officeDocument/2006/relationships/hyperlink" Target="http://budjetti.vm.fi/indox/sisalto.jsp?year=2016&amp;lang=fi&amp;maindoc=/2016/aky/aky.xml&amp;id=/2016/aky/YksityiskohtaisetPerustelut/12/30/99/99.html" TargetMode="External"/><Relationship Id="rId141" Type="http://schemas.openxmlformats.org/officeDocument/2006/relationships/hyperlink" Target="http://budjetti.vm.fi/indox/sisalto.jsp?year=2016&amp;lang=fi&amp;maindoc=/2016/aky/aky.xml&amp;id=/2016/aky/YksityiskohtaisetPerustelut/22/01/01/01.html" TargetMode="External"/><Relationship Id="rId379" Type="http://schemas.openxmlformats.org/officeDocument/2006/relationships/hyperlink" Target="http://budjetti.vm.fi/indox/sisalto.jsp?year=2016&amp;lang=fi&amp;maindoc=/2016/aky/aky.xml&amp;id=/2016/aky/YksityiskohtaisetPerustelut/29/70/57/57.html" TargetMode="External"/><Relationship Id="rId544" Type="http://schemas.openxmlformats.org/officeDocument/2006/relationships/hyperlink" Target="http://budjetti.vm.fi/indox/sisalto.jsp?year=2016&amp;lang=fi&amp;maindoc=/2016/aky/aky.xml&amp;id=/2016/aky/YksityiskohtaisetPerustelut/32/40/03/03.html" TargetMode="External"/><Relationship Id="rId586" Type="http://schemas.openxmlformats.org/officeDocument/2006/relationships/hyperlink" Target="http://budjetti.vm.fi/indox/sisalto.jsp?year=2016&amp;lang=fi&amp;maindoc=/2016/aky/aky.xml&amp;id=/2016/aky/YksityiskohtaisetPerustelut/33/03/31/31.html" TargetMode="External"/><Relationship Id="rId7" Type="http://schemas.openxmlformats.org/officeDocument/2006/relationships/hyperlink" Target="http://budjetti.vm.fi/indox/sisalto.jsp?year=2016&amp;lang=fi&amp;maindoc=/2016/aky/aky.xml&amp;id=/2016/aky/YksityiskohtaisetPerustelut/11/04/04.html" TargetMode="External"/><Relationship Id="rId183" Type="http://schemas.openxmlformats.org/officeDocument/2006/relationships/hyperlink" Target="http://budjetti.vm.fi/indox/sisalto.jsp?year=2016&amp;lang=fi&amp;maindoc=/2016/aky/aky.xml&amp;id=/2016/aky/YksityiskohtaisetPerustelut/24/90/66/66.html" TargetMode="External"/><Relationship Id="rId239" Type="http://schemas.openxmlformats.org/officeDocument/2006/relationships/hyperlink" Target="http://budjetti.vm.fi/indox/sisalto.jsp?year=2016&amp;lang=fi&amp;maindoc=/2016/aky/aky.xml&amp;id=/2016/aky/YksityiskohtaisetPerustelut/26/40/21/21.html" TargetMode="External"/><Relationship Id="rId390" Type="http://schemas.openxmlformats.org/officeDocument/2006/relationships/hyperlink" Target="http://budjetti.vm.fi/indox/sisalto.jsp?year=2016&amp;lang=fi&amp;maindoc=/2016/aky/aky.xml&amp;id=/2016/aky/YksityiskohtaisetPerustelut/29/80/31/31.html" TargetMode="External"/><Relationship Id="rId404" Type="http://schemas.openxmlformats.org/officeDocument/2006/relationships/hyperlink" Target="http://budjetti.vm.fi/indox/sisalto.jsp?year=2016&amp;lang=fi&amp;maindoc=/2016/aky/aky.xml&amp;id=/2016/aky/YksityiskohtaisetPerustelut/29/80/75/75.html" TargetMode="External"/><Relationship Id="rId446" Type="http://schemas.openxmlformats.org/officeDocument/2006/relationships/hyperlink" Target="http://budjetti.vm.fi/indox/sisalto.jsp?year=2016&amp;lang=fi&amp;maindoc=/2016/aky/aky.xml&amp;id=/2016/aky/YksityiskohtaisetPerustelut/30/20/61/61.html" TargetMode="External"/><Relationship Id="rId611" Type="http://schemas.openxmlformats.org/officeDocument/2006/relationships/hyperlink" Target="http://budjetti.vm.fi/indox/sisalto.jsp?year=2016&amp;lang=fi&amp;maindoc=/2016/aky/aky.xml&amp;id=/2016/aky/YksityiskohtaisetPerustelut/33/40/53/53.html" TargetMode="External"/><Relationship Id="rId653" Type="http://schemas.openxmlformats.org/officeDocument/2006/relationships/hyperlink" Target="http://budjetti.vm.fi/indox/sisalto.jsp?year=2016&amp;lang=fi&amp;maindoc=/2016/aky/aky.xml&amp;id=/2016/aky/YksityiskohtaisetPerustelut/35/01/01/01.html" TargetMode="External"/><Relationship Id="rId250" Type="http://schemas.openxmlformats.org/officeDocument/2006/relationships/hyperlink" Target="http://budjetti.vm.fi/indox/sisalto.jsp?year=2016&amp;lang=fi&amp;maindoc=/2016/aky/aky.xml&amp;id=/2016/aky/YksityiskohtaisetPerustelut/27/10/50/50.html" TargetMode="External"/><Relationship Id="rId292" Type="http://schemas.openxmlformats.org/officeDocument/2006/relationships/hyperlink" Target="http://budjetti.vm.fi/indox/sisalto.jsp?year=2016&amp;lang=fi&amp;maindoc=/2016/aky/aky.xml&amp;id=/2016/aky/YksityiskohtaisetPerustelut/28/60/02/02.html" TargetMode="External"/><Relationship Id="rId306" Type="http://schemas.openxmlformats.org/officeDocument/2006/relationships/hyperlink" Target="http://budjetti.vm.fi/indox/sisalto.jsp?year=2016&amp;lang=fi&amp;maindoc=/2016/aky/aky.xml&amp;id=/2016/aky/YksityiskohtaisetPerustelut/28/80/33/33.html" TargetMode="External"/><Relationship Id="rId488" Type="http://schemas.openxmlformats.org/officeDocument/2006/relationships/hyperlink" Target="http://budjetti.vm.fi/indox/sisalto.jsp?year=2016&amp;lang=fi&amp;maindoc=/2016/aky/aky.xml&amp;id=/2016/aky/YksityiskohtaisetPerustelut/31/30/30.html" TargetMode="External"/><Relationship Id="rId45" Type="http://schemas.openxmlformats.org/officeDocument/2006/relationships/hyperlink" Target="http://budjetti.vm.fi/indox/sisalto.jsp?year=2016&amp;lang=fi&amp;maindoc=/2016/aky/aky.xml&amp;id=/2016/aky/YksityiskohtaisetPerustelut/12/27/20/20.html" TargetMode="External"/><Relationship Id="rId87" Type="http://schemas.openxmlformats.org/officeDocument/2006/relationships/hyperlink" Target="http://budjetti.vm.fi/indox/sisalto.jsp?year=2016&amp;lang=fi&amp;maindoc=/2016/aky/aky.xml&amp;id=/2016/aky/YksityiskohtaisetPerustelut/12/33/02/02.html" TargetMode="External"/><Relationship Id="rId110" Type="http://schemas.openxmlformats.org/officeDocument/2006/relationships/hyperlink" Target="http://budjetti.vm.fi/indox/sisalto.jsp?year=2016&amp;lang=fi&amp;maindoc=/2016/aky/aky.xml&amp;id=/2016/aky/YksityiskohtaisetPerustelut/13/04/01/01.html" TargetMode="External"/><Relationship Id="rId348" Type="http://schemas.openxmlformats.org/officeDocument/2006/relationships/hyperlink" Target="http://budjetti.vm.fi/indox/sisalto.jsp?year=2016&amp;lang=fi&amp;maindoc=/2016/aky/aky.xml&amp;id=/2016/aky/YksityiskohtaisetPerustelut/29/20/20.html" TargetMode="External"/><Relationship Id="rId513" Type="http://schemas.openxmlformats.org/officeDocument/2006/relationships/hyperlink" Target="http://budjetti.vm.fi/indox/sisalto.jsp?year=2016&amp;lang=fi&amp;maindoc=/2016/aky/aky.xml&amp;id=/2016/aky/YksityiskohtaisetPerustelut/32/01/42/42.html" TargetMode="External"/><Relationship Id="rId555" Type="http://schemas.openxmlformats.org/officeDocument/2006/relationships/hyperlink" Target="http://budjetti.vm.fi/indox/sisalto.jsp?year=2016&amp;lang=fi&amp;maindoc=/2016/aky/aky.xml&amp;id=/2016/aky/YksityiskohtaisetPerustelut/32/60/01/01.html" TargetMode="External"/><Relationship Id="rId597" Type="http://schemas.openxmlformats.org/officeDocument/2006/relationships/hyperlink" Target="http://budjetti.vm.fi/indox/sisalto.jsp?year=2016&amp;lang=fi&amp;maindoc=/2016/aky/aky.xml&amp;id=/2016/aky/YksityiskohtaisetPerustelut/33/10/60/60.html" TargetMode="External"/><Relationship Id="rId152" Type="http://schemas.openxmlformats.org/officeDocument/2006/relationships/hyperlink" Target="http://budjetti.vm.fi/indox/sisalto.jsp?year=2016&amp;lang=fi&amp;maindoc=/2016/aky/aky.xml&amp;id=/2016/aky/YksityiskohtaisetPerustelut/23/01/03/03.html" TargetMode="External"/><Relationship Id="rId194" Type="http://schemas.openxmlformats.org/officeDocument/2006/relationships/hyperlink" Target="http://budjetti.vm.fi/indox/sisalto.jsp?year=2016&amp;lang=fi&amp;maindoc=/2016/aky/aky.xml&amp;id=/2016/aky/YksityiskohtaisetPerustelut/25/01/22/22.html" TargetMode="External"/><Relationship Id="rId208" Type="http://schemas.openxmlformats.org/officeDocument/2006/relationships/hyperlink" Target="http://budjetti.vm.fi/indox/sisalto.jsp?year=2016&amp;lang=fi&amp;maindoc=/2016/aky/aky.xml&amp;id=/2016/aky/YksityiskohtaisetPerustelut/25/40/40.html" TargetMode="External"/><Relationship Id="rId415" Type="http://schemas.openxmlformats.org/officeDocument/2006/relationships/hyperlink" Target="http://budjetti.vm.fi/indox/sisalto.jsp?year=2016&amp;lang=fi&amp;maindoc=/2016/aky/aky.xml&amp;id=/2016/aky/YksityiskohtaisetPerustelut/30/01/01.html" TargetMode="External"/><Relationship Id="rId457" Type="http://schemas.openxmlformats.org/officeDocument/2006/relationships/hyperlink" Target="http://budjetti.vm.fi/indox/sisalto.jsp?year=2016&amp;lang=fi&amp;maindoc=/2016/aky/aky.xml&amp;id=/2016/aky/YksityiskohtaisetPerustelut/30/40/45/45.html" TargetMode="External"/><Relationship Id="rId622" Type="http://schemas.openxmlformats.org/officeDocument/2006/relationships/hyperlink" Target="http://budjetti.vm.fi/indox/sisalto.jsp?year=2016&amp;lang=fi&amp;maindoc=/2016/aky/aky.xml&amp;id=/2016/aky/YksityiskohtaisetPerustelut/33/50/56/56.html" TargetMode="External"/><Relationship Id="rId261" Type="http://schemas.openxmlformats.org/officeDocument/2006/relationships/hyperlink" Target="http://budjetti.vm.fi/indox/sisalto.jsp?year=2016&amp;lang=fi&amp;maindoc=/2016/aky/aky.xml&amp;id=/2016/aky/YksityiskohtaisetPerustelut/28/10/01/01.html" TargetMode="External"/><Relationship Id="rId499" Type="http://schemas.openxmlformats.org/officeDocument/2006/relationships/hyperlink" Target="http://budjetti.vm.fi/indox/sisalto.jsp?year=2016&amp;lang=fi&amp;maindoc=/2016/aky/aky.xml&amp;id=/2016/aky/YksityiskohtaisetPerustelut/31/40/50/50.html" TargetMode="External"/><Relationship Id="rId664" Type="http://schemas.openxmlformats.org/officeDocument/2006/relationships/hyperlink" Target="http://budjetti.vm.fi/indox/sisalto.jsp?year=2016&amp;lang=fi&amp;maindoc=/2016/aky/aky.xml&amp;id=/2016/aky/YksityiskohtaisetPerustelut/35/10/63/63.html" TargetMode="External"/><Relationship Id="rId14" Type="http://schemas.openxmlformats.org/officeDocument/2006/relationships/hyperlink" Target="http://budjetti.vm.fi/indox/sisalto.jsp?year=2016&amp;lang=fi&amp;maindoc=/2016/aky/aky.xml&amp;id=/2016/aky/YksityiskohtaisetPerustelut/11/08/05/05.html" TargetMode="External"/><Relationship Id="rId56" Type="http://schemas.openxmlformats.org/officeDocument/2006/relationships/hyperlink" Target="http://budjetti.vm.fi/indox/sisalto.jsp?year=2016&amp;lang=fi&amp;maindoc=/2016/aky/aky.xml&amp;id=/2016/aky/YksityiskohtaisetPerustelut/12/28/52/52.html" TargetMode="External"/><Relationship Id="rId317" Type="http://schemas.openxmlformats.org/officeDocument/2006/relationships/hyperlink" Target="http://budjetti.vm.fi/indox/sisalto.jsp?year=2016&amp;lang=fi&amp;maindoc=/2016/aky/aky.xml&amp;id=/2016/aky/YksityiskohtaisetPerustelut/28/92/20/20.html" TargetMode="External"/><Relationship Id="rId359" Type="http://schemas.openxmlformats.org/officeDocument/2006/relationships/hyperlink" Target="http://budjetti.vm.fi/indox/sisalto.jsp?year=2016&amp;lang=fi&amp;maindoc=/2016/aky/aky.xml&amp;id=/2016/aky/YksityiskohtaisetPerustelut/29/30/51/51.html" TargetMode="External"/><Relationship Id="rId524" Type="http://schemas.openxmlformats.org/officeDocument/2006/relationships/hyperlink" Target="http://budjetti.vm.fi/indox/sisalto.jsp?year=2016&amp;lang=fi&amp;maindoc=/2016/aky/aky.xml&amp;id=/2016/aky/YksityiskohtaisetPerustelut/32/20/42/42.html" TargetMode="External"/><Relationship Id="rId566" Type="http://schemas.openxmlformats.org/officeDocument/2006/relationships/hyperlink" Target="http://budjetti.vm.fi/indox/sisalto.jsp?year=2016&amp;lang=fi&amp;maindoc=/2016/aky/aky.xml&amp;id=/2016/aky/YksityiskohtaisetPerustelut/33/33.html" TargetMode="External"/><Relationship Id="rId98" Type="http://schemas.openxmlformats.org/officeDocument/2006/relationships/hyperlink" Target="http://budjetti.vm.fi/indox/sisalto.jsp?year=2016&amp;lang=fi&amp;maindoc=/2016/aky/aky.xml&amp;id=/2016/aky/YksityiskohtaisetPerustelut/12/39/02/02.html" TargetMode="External"/><Relationship Id="rId121" Type="http://schemas.openxmlformats.org/officeDocument/2006/relationships/hyperlink" Target="http://budjetti.vm.fi/indox/sisalto.jsp?year=2016&amp;lang=fi&amp;maindoc=/2016/aky/aky.xml&amp;id=/2016/aky/YksityiskohtaisetPerustelut/21/01/01/01.html" TargetMode="External"/><Relationship Id="rId163" Type="http://schemas.openxmlformats.org/officeDocument/2006/relationships/hyperlink" Target="http://budjetti.vm.fi/indox/sisalto.jsp?year=2016&amp;lang=fi&amp;maindoc=/2016/aky/aky.xml&amp;id=/2016/aky/YksityiskohtaisetPerustelut/23/90/90.html" TargetMode="External"/><Relationship Id="rId219" Type="http://schemas.openxmlformats.org/officeDocument/2006/relationships/hyperlink" Target="http://budjetti.vm.fi/indox/sisalto.jsp?year=2016&amp;lang=fi&amp;maindoc=/2016/aky/aky.xml&amp;id=/2016/aky/YksityiskohtaisetPerustelut/26/01/24/24.html" TargetMode="External"/><Relationship Id="rId370" Type="http://schemas.openxmlformats.org/officeDocument/2006/relationships/hyperlink" Target="http://budjetti.vm.fi/indox/sisalto.jsp?year=2016&amp;lang=fi&amp;maindoc=/2016/aky/aky.xml&amp;id=/2016/aky/YksityiskohtaisetPerustelut/29/40/52/52.html" TargetMode="External"/><Relationship Id="rId426" Type="http://schemas.openxmlformats.org/officeDocument/2006/relationships/hyperlink" Target="http://budjetti.vm.fi/indox/sisalto.jsp?year=2016&amp;lang=fi&amp;maindoc=/2016/aky/aky.xml&amp;id=/2016/aky/YksityiskohtaisetPerustelut/30/10/43/43.html" TargetMode="External"/><Relationship Id="rId633" Type="http://schemas.openxmlformats.org/officeDocument/2006/relationships/hyperlink" Target="http://budjetti.vm.fi/indox/sisalto.jsp?year=2016&amp;lang=fi&amp;maindoc=/2016/aky/aky.xml&amp;id=/2016/aky/YksityiskohtaisetPerustelut/33/60/50/50.html" TargetMode="External"/><Relationship Id="rId230" Type="http://schemas.openxmlformats.org/officeDocument/2006/relationships/hyperlink" Target="http://budjetti.vm.fi/indox/sisalto.jsp?year=2016&amp;lang=fi&amp;maindoc=/2016/aky/aky.xml&amp;id=/2016/aky/YksityiskohtaisetPerustelut/26/20/70/70.html" TargetMode="External"/><Relationship Id="rId468" Type="http://schemas.openxmlformats.org/officeDocument/2006/relationships/hyperlink" Target="http://budjetti.vm.fi/indox/sisalto.jsp?year=2016&amp;lang=fi&amp;maindoc=/2016/aky/aky.xml&amp;id=/2016/aky/YksityiskohtaisetPerustelut/30/70/70.html" TargetMode="External"/><Relationship Id="rId675" Type="http://schemas.openxmlformats.org/officeDocument/2006/relationships/hyperlink" Target="http://budjetti.vm.fi/indox/sisalto.jsp?year=2016&amp;lang=fi&amp;maindoc=/2016/aky/aky.xml&amp;id=/2016/aky/YksityiskohtaisetPerustelut/36/36.html" TargetMode="External"/><Relationship Id="rId25" Type="http://schemas.openxmlformats.org/officeDocument/2006/relationships/hyperlink" Target="http://budjetti.vm.fi/indox/sisalto.jsp?year=2016&amp;lang=fi&amp;maindoc=/2016/aky/aky.xml&amp;id=/2016/aky/YksityiskohtaisetPerustelut/11/19/04/04.html" TargetMode="External"/><Relationship Id="rId67" Type="http://schemas.openxmlformats.org/officeDocument/2006/relationships/hyperlink" Target="http://budjetti.vm.fi/indox/sisalto.jsp?year=2016&amp;lang=fi&amp;maindoc=/2016/aky/aky.xml&amp;id=/2016/aky/YksityiskohtaisetPerustelut/12/30/02/02.html" TargetMode="External"/><Relationship Id="rId272" Type="http://schemas.openxmlformats.org/officeDocument/2006/relationships/hyperlink" Target="http://budjetti.vm.fi/indox/sisalto.jsp?year=2016&amp;lang=fi&amp;maindoc=/2016/aky/aky.xml&amp;id=/2016/aky/YksityiskohtaisetPerustelut/28/20/09/09.html" TargetMode="External"/><Relationship Id="rId328" Type="http://schemas.openxmlformats.org/officeDocument/2006/relationships/hyperlink" Target="http://budjetti.vm.fi/indox/sisalto.jsp?year=2016&amp;lang=fi&amp;maindoc=/2016/aky/aky.xml&amp;id=/2016/aky/YksityiskohtaisetPerustelut/29/29.html" TargetMode="External"/><Relationship Id="rId535" Type="http://schemas.openxmlformats.org/officeDocument/2006/relationships/hyperlink" Target="http://budjetti.vm.fi/indox/sisalto.jsp?year=2016&amp;lang=fi&amp;maindoc=/2016/aky/aky.xml&amp;id=/2016/aky/YksityiskohtaisetPerustelut/32/20/89/89.html" TargetMode="External"/><Relationship Id="rId577" Type="http://schemas.openxmlformats.org/officeDocument/2006/relationships/hyperlink" Target="http://budjetti.vm.fi/indox/sisalto.jsp?year=2016&amp;lang=fi&amp;maindoc=/2016/aky/aky.xml&amp;id=/2016/aky/YksityiskohtaisetPerustelut/33/02/02.html" TargetMode="External"/><Relationship Id="rId132" Type="http://schemas.openxmlformats.org/officeDocument/2006/relationships/hyperlink" Target="http://budjetti.vm.fi/indox/sisalto.jsp?year=2016&amp;lang=fi&amp;maindoc=/2016/aky/aky.xml&amp;id=/2016/aky/YksityiskohtaisetPerustelut/21/30/01/01.html" TargetMode="External"/><Relationship Id="rId174" Type="http://schemas.openxmlformats.org/officeDocument/2006/relationships/hyperlink" Target="http://budjetti.vm.fi/indox/sisalto.jsp?year=2016&amp;lang=fi&amp;maindoc=/2016/aky/aky.xml&amp;id=/2016/aky/YksityiskohtaisetPerustelut/24/10/20/20.html" TargetMode="External"/><Relationship Id="rId381" Type="http://schemas.openxmlformats.org/officeDocument/2006/relationships/hyperlink" Target="http://budjetti.vm.fi/indox/sisalto.jsp?year=2016&amp;lang=fi&amp;maindoc=/2016/aky/aky.xml&amp;id=/2016/aky/YksityiskohtaisetPerustelut/29/80/80.html" TargetMode="External"/><Relationship Id="rId602" Type="http://schemas.openxmlformats.org/officeDocument/2006/relationships/hyperlink" Target="http://budjetti.vm.fi/indox/sisalto.jsp?year=2016&amp;lang=fi&amp;maindoc=/2016/aky/aky.xml&amp;id=/2016/aky/YksityiskohtaisetPerustelut/33/20/52/52.html" TargetMode="External"/><Relationship Id="rId241" Type="http://schemas.openxmlformats.org/officeDocument/2006/relationships/hyperlink" Target="http://budjetti.vm.fi/indox/sisalto.jsp?year=2016&amp;lang=fi&amp;maindoc=/2016/aky/aky.xml&amp;id=/2016/aky/YksityiskohtaisetPerustelut/27/27.html" TargetMode="External"/><Relationship Id="rId437" Type="http://schemas.openxmlformats.org/officeDocument/2006/relationships/hyperlink" Target="http://budjetti.vm.fi/indox/sisalto.jsp?year=2016&amp;lang=fi&amp;maindoc=/2016/aky/aky.xml&amp;id=/2016/aky/YksityiskohtaisetPerustelut/30/20/20/20.html" TargetMode="External"/><Relationship Id="rId479" Type="http://schemas.openxmlformats.org/officeDocument/2006/relationships/hyperlink" Target="http://budjetti.vm.fi/indox/sisalto.jsp?year=2016&amp;lang=fi&amp;maindoc=/2016/aky/aky.xml&amp;id=/2016/aky/YksityiskohtaisetPerustelut/31/10/35/35.html" TargetMode="External"/><Relationship Id="rId644" Type="http://schemas.openxmlformats.org/officeDocument/2006/relationships/hyperlink" Target="http://budjetti.vm.fi/indox/sisalto.jsp?year=2016&amp;lang=fi&amp;maindoc=/2016/aky/aky.xml&amp;id=/2016/aky/YksityiskohtaisetPerustelut/33/80/80.html" TargetMode="External"/><Relationship Id="rId36" Type="http://schemas.openxmlformats.org/officeDocument/2006/relationships/hyperlink" Target="http://budjetti.vm.fi/indox/sisalto.jsp?year=2016&amp;lang=fi&amp;maindoc=/2016/aky/aky.xml&amp;id=/2016/aky/YksityiskohtaisetPerustelut/12/25/10/10.html" TargetMode="External"/><Relationship Id="rId283" Type="http://schemas.openxmlformats.org/officeDocument/2006/relationships/hyperlink" Target="http://budjetti.vm.fi/indox/sisalto.jsp?year=2016&amp;lang=fi&amp;maindoc=/2016/aky/aky.xml&amp;id=/2016/aky/YksityiskohtaisetPerustelut/28/40/03/03.html" TargetMode="External"/><Relationship Id="rId339" Type="http://schemas.openxmlformats.org/officeDocument/2006/relationships/hyperlink" Target="http://budjetti.vm.fi/indox/sisalto.jsp?year=2016&amp;lang=fi&amp;maindoc=/2016/aky/aky.xml&amp;id=/2016/aky/YksityiskohtaisetPerustelut/29/01/52/52.html" TargetMode="External"/><Relationship Id="rId490" Type="http://schemas.openxmlformats.org/officeDocument/2006/relationships/hyperlink" Target="http://budjetti.vm.fi/indox/sisalto.jsp?year=2016&amp;lang=fi&amp;maindoc=/2016/aky/aky.xml&amp;id=/2016/aky/YksityiskohtaisetPerustelut/31/30/43/43.html" TargetMode="External"/><Relationship Id="rId504" Type="http://schemas.openxmlformats.org/officeDocument/2006/relationships/hyperlink" Target="http://budjetti.vm.fi/indox/sisalto.jsp?year=2016&amp;lang=fi&amp;maindoc=/2016/aky/aky.xml&amp;id=/2016/aky/YksityiskohtaisetPerustelut/32/01/01.html" TargetMode="External"/><Relationship Id="rId546" Type="http://schemas.openxmlformats.org/officeDocument/2006/relationships/hyperlink" Target="http://budjetti.vm.fi/indox/sisalto.jsp?year=2016&amp;lang=fi&amp;maindoc=/2016/aky/aky.xml&amp;id=/2016/aky/YksityiskohtaisetPerustelut/32/40/31/31.html" TargetMode="External"/><Relationship Id="rId78" Type="http://schemas.openxmlformats.org/officeDocument/2006/relationships/hyperlink" Target="http://budjetti.vm.fi/indox/sisalto.jsp?year=2016&amp;lang=fi&amp;maindoc=/2016/aky/aky.xml&amp;id=/2016/aky/YksityiskohtaisetPerustelut/12/31/10/10.html" TargetMode="External"/><Relationship Id="rId101" Type="http://schemas.openxmlformats.org/officeDocument/2006/relationships/hyperlink" Target="http://budjetti.vm.fi/indox/sisalto.jsp?year=2016&amp;lang=fi&amp;maindoc=/2016/aky/aky.xml&amp;id=/2016/aky/YksityiskohtaisetPerustelut/13/13.html" TargetMode="External"/><Relationship Id="rId143" Type="http://schemas.openxmlformats.org/officeDocument/2006/relationships/hyperlink" Target="http://budjetti.vm.fi/indox/sisalto.jsp?year=2016&amp;lang=fi&amp;maindoc=/2016/aky/aky.xml&amp;id=/2016/aky/YksityiskohtaisetPerustelut/22/01/20/20.html" TargetMode="External"/><Relationship Id="rId185" Type="http://schemas.openxmlformats.org/officeDocument/2006/relationships/hyperlink" Target="http://budjetti.vm.fi/indox/sisalto.jsp?year=2016&amp;lang=fi&amp;maindoc=/2016/aky/aky.xml&amp;id=/2016/aky/YksityiskohtaisetPerustelut/24/90/68/68.html" TargetMode="External"/><Relationship Id="rId350" Type="http://schemas.openxmlformats.org/officeDocument/2006/relationships/hyperlink" Target="http://budjetti.vm.fi/indox/sisalto.jsp?year=2016&amp;lang=fi&amp;maindoc=/2016/aky/aky.xml&amp;id=/2016/aky/YksityiskohtaisetPerustelut/29/20/21/21.html" TargetMode="External"/><Relationship Id="rId406" Type="http://schemas.openxmlformats.org/officeDocument/2006/relationships/hyperlink" Target="http://budjetti.vm.fi/indox/sisalto.jsp?year=2016&amp;lang=fi&amp;maindoc=/2016/aky/aky.xml&amp;id=/2016/aky/YksityiskohtaisetPerustelut/29/90/90.html" TargetMode="External"/><Relationship Id="rId588" Type="http://schemas.openxmlformats.org/officeDocument/2006/relationships/hyperlink" Target="http://budjetti.vm.fi/indox/sisalto.jsp?year=2016&amp;lang=fi&amp;maindoc=/2016/aky/aky.xml&amp;id=/2016/aky/YksityiskohtaisetPerustelut/33/03/63/63.html" TargetMode="External"/><Relationship Id="rId9" Type="http://schemas.openxmlformats.org/officeDocument/2006/relationships/hyperlink" Target="http://budjetti.vm.fi/indox/sisalto.jsp?year=2016&amp;lang=fi&amp;maindoc=/2016/aky/aky.xml&amp;id=/2016/aky/YksityiskohtaisetPerustelut/11/04/02/02.html" TargetMode="External"/><Relationship Id="rId210" Type="http://schemas.openxmlformats.org/officeDocument/2006/relationships/hyperlink" Target="http://budjetti.vm.fi/indox/sisalto.jsp?year=2016&amp;lang=fi&amp;maindoc=/2016/aky/aky.xml&amp;id=/2016/aky/YksityiskohtaisetPerustelut/25/40/74/74.html" TargetMode="External"/><Relationship Id="rId392" Type="http://schemas.openxmlformats.org/officeDocument/2006/relationships/hyperlink" Target="http://budjetti.vm.fi/indox/sisalto.jsp?year=2016&amp;lang=fi&amp;maindoc=/2016/aky/aky.xml&amp;id=/2016/aky/YksityiskohtaisetPerustelut/29/80/35/35.html" TargetMode="External"/><Relationship Id="rId448" Type="http://schemas.openxmlformats.org/officeDocument/2006/relationships/hyperlink" Target="http://budjetti.vm.fi/indox/sisalto.jsp?year=2016&amp;lang=fi&amp;maindoc=/2016/aky/aky.xml&amp;id=/2016/aky/YksityiskohtaisetPerustelut/30/40/40.html" TargetMode="External"/><Relationship Id="rId613" Type="http://schemas.openxmlformats.org/officeDocument/2006/relationships/hyperlink" Target="http://budjetti.vm.fi/indox/sisalto.jsp?year=2016&amp;lang=fi&amp;maindoc=/2016/aky/aky.xml&amp;id=/2016/aky/YksityiskohtaisetPerustelut/33/40/60/60.html" TargetMode="External"/><Relationship Id="rId655" Type="http://schemas.openxmlformats.org/officeDocument/2006/relationships/hyperlink" Target="http://budjetti.vm.fi/indox/sisalto.jsp?year=2016&amp;lang=fi&amp;maindoc=/2016/aky/aky.xml&amp;id=/2016/aky/YksityiskohtaisetPerustelut/35/01/29/29.html" TargetMode="External"/><Relationship Id="rId252" Type="http://schemas.openxmlformats.org/officeDocument/2006/relationships/hyperlink" Target="http://budjetti.vm.fi/indox/sisalto.jsp?year=2016&amp;lang=fi&amp;maindoc=/2016/aky/aky.xml&amp;id=/2016/aky/YksityiskohtaisetPerustelut/27/30/20/20.html" TargetMode="External"/><Relationship Id="rId294" Type="http://schemas.openxmlformats.org/officeDocument/2006/relationships/hyperlink" Target="http://budjetti.vm.fi/indox/sisalto.jsp?year=2016&amp;lang=fi&amp;maindoc=/2016/aky/aky.xml&amp;id=/2016/aky/YksityiskohtaisetPerustelut/28/60/12/12.html" TargetMode="External"/><Relationship Id="rId308" Type="http://schemas.openxmlformats.org/officeDocument/2006/relationships/hyperlink" Target="http://budjetti.vm.fi/indox/sisalto.jsp?year=2016&amp;lang=fi&amp;maindoc=/2016/aky/aky.xml&amp;id=/2016/aky/YksityiskohtaisetPerustelut/28/90/20/20.html" TargetMode="External"/><Relationship Id="rId515" Type="http://schemas.openxmlformats.org/officeDocument/2006/relationships/hyperlink" Target="http://budjetti.vm.fi/indox/sisalto.jsp?year=2016&amp;lang=fi&amp;maindoc=/2016/aky/aky.xml&amp;id=/2016/aky/YksityiskohtaisetPerustelut/32/01/66/66.html" TargetMode="External"/><Relationship Id="rId47" Type="http://schemas.openxmlformats.org/officeDocument/2006/relationships/hyperlink" Target="http://budjetti.vm.fi/indox/sisalto.jsp?year=2016&amp;lang=fi&amp;maindoc=/2016/aky/aky.xml&amp;id=/2016/aky/YksityiskohtaisetPerustelut/12/28/28.html" TargetMode="External"/><Relationship Id="rId89" Type="http://schemas.openxmlformats.org/officeDocument/2006/relationships/hyperlink" Target="http://budjetti.vm.fi/indox/sisalto.jsp?year=2016&amp;lang=fi&amp;maindoc=/2016/aky/aky.xml&amp;id=/2016/aky/YksityiskohtaisetPerustelut/12/33/90/90.html" TargetMode="External"/><Relationship Id="rId112" Type="http://schemas.openxmlformats.org/officeDocument/2006/relationships/hyperlink" Target="http://budjetti.vm.fi/indox/sisalto.jsp?year=2016&amp;lang=fi&amp;maindoc=/2016/aky/aky.xml&amp;id=/2016/aky/YksityiskohtaisetPerustelut/13/05/01/01.html" TargetMode="External"/><Relationship Id="rId154" Type="http://schemas.openxmlformats.org/officeDocument/2006/relationships/hyperlink" Target="http://budjetti.vm.fi/indox/sisalto.jsp?year=2016&amp;lang=fi&amp;maindoc=/2016/aky/aky.xml&amp;id=/2016/aky/YksityiskohtaisetPerustelut/23/01/22/22.html" TargetMode="External"/><Relationship Id="rId361" Type="http://schemas.openxmlformats.org/officeDocument/2006/relationships/hyperlink" Target="http://budjetti.vm.fi/indox/sisalto.jsp?year=2016&amp;lang=fi&amp;maindoc=/2016/aky/aky.xml&amp;id=/2016/aky/YksityiskohtaisetPerustelut/29/40/40.html" TargetMode="External"/><Relationship Id="rId557" Type="http://schemas.openxmlformats.org/officeDocument/2006/relationships/hyperlink" Target="http://budjetti.vm.fi/indox/sisalto.jsp?year=2016&amp;lang=fi&amp;maindoc=/2016/aky/aky.xml&amp;id=/2016/aky/YksityiskohtaisetPerustelut/32/60/41/41.html" TargetMode="External"/><Relationship Id="rId599" Type="http://schemas.openxmlformats.org/officeDocument/2006/relationships/hyperlink" Target="http://budjetti.vm.fi/indox/sisalto.jsp?year=2016&amp;lang=fi&amp;maindoc=/2016/aky/aky.xml&amp;id=/2016/aky/YksityiskohtaisetPerustelut/33/20/31/31.html" TargetMode="External"/><Relationship Id="rId196" Type="http://schemas.openxmlformats.org/officeDocument/2006/relationships/hyperlink" Target="http://budjetti.vm.fi/indox/sisalto.jsp?year=2016&amp;lang=fi&amp;maindoc=/2016/aky/aky.xml&amp;id=/2016/aky/YksityiskohtaisetPerustelut/25/01/50/50.html" TargetMode="External"/><Relationship Id="rId417" Type="http://schemas.openxmlformats.org/officeDocument/2006/relationships/hyperlink" Target="http://budjetti.vm.fi/indox/sisalto.jsp?year=2016&amp;lang=fi&amp;maindoc=/2016/aky/aky.xml&amp;id=/2016/aky/YksityiskohtaisetPerustelut/30/01/05/05.html" TargetMode="External"/><Relationship Id="rId459" Type="http://schemas.openxmlformats.org/officeDocument/2006/relationships/hyperlink" Target="http://budjetti.vm.fi/indox/sisalto.jsp?year=2016&amp;lang=fi&amp;maindoc=/2016/aky/aky.xml&amp;id=/2016/aky/YksityiskohtaisetPerustelut/30/40/50/50.html" TargetMode="External"/><Relationship Id="rId624" Type="http://schemas.openxmlformats.org/officeDocument/2006/relationships/hyperlink" Target="http://budjetti.vm.fi/indox/sisalto.jsp?year=2016&amp;lang=fi&amp;maindoc=/2016/aky/aky.xml&amp;id=/2016/aky/YksityiskohtaisetPerustelut/33/60/60.html" TargetMode="External"/><Relationship Id="rId666" Type="http://schemas.openxmlformats.org/officeDocument/2006/relationships/hyperlink" Target="http://budjetti.vm.fi/indox/sisalto.jsp?year=2016&amp;lang=fi&amp;maindoc=/2016/aky/aky.xml&amp;id=/2016/aky/YksityiskohtaisetPerustelut/35/10/65/65.html" TargetMode="External"/><Relationship Id="rId16" Type="http://schemas.openxmlformats.org/officeDocument/2006/relationships/hyperlink" Target="http://budjetti.vm.fi/indox/sisalto.jsp?year=2016&amp;lang=fi&amp;maindoc=/2016/aky/aky.xml&amp;id=/2016/aky/YksityiskohtaisetPerustelut/11/08/08/08.html" TargetMode="External"/><Relationship Id="rId221" Type="http://schemas.openxmlformats.org/officeDocument/2006/relationships/hyperlink" Target="http://budjetti.vm.fi/indox/sisalto.jsp?year=2016&amp;lang=fi&amp;maindoc=/2016/aky/aky.xml&amp;id=/2016/aky/YksityiskohtaisetPerustelut/26/01/50/50.html" TargetMode="External"/><Relationship Id="rId263" Type="http://schemas.openxmlformats.org/officeDocument/2006/relationships/hyperlink" Target="http://budjetti.vm.fi/indox/sisalto.jsp?year=2016&amp;lang=fi&amp;maindoc=/2016/aky/aky.xml&amp;id=/2016/aky/YksityiskohtaisetPerustelut/28/10/63/63.html" TargetMode="External"/><Relationship Id="rId319" Type="http://schemas.openxmlformats.org/officeDocument/2006/relationships/hyperlink" Target="http://budjetti.vm.fi/indox/sisalto.jsp?year=2016&amp;lang=fi&amp;maindoc=/2016/aky/aky.xml&amp;id=/2016/aky/YksityiskohtaisetPerustelut/28/92/67/67.html" TargetMode="External"/><Relationship Id="rId470" Type="http://schemas.openxmlformats.org/officeDocument/2006/relationships/hyperlink" Target="http://budjetti.vm.fi/indox/sisalto.jsp?year=2016&amp;lang=fi&amp;maindoc=/2016/aky/aky.xml&amp;id=/2016/aky/YksityiskohtaisetPerustelut/30/70/40/40.html" TargetMode="External"/><Relationship Id="rId526" Type="http://schemas.openxmlformats.org/officeDocument/2006/relationships/hyperlink" Target="http://budjetti.vm.fi/indox/sisalto.jsp?year=2016&amp;lang=fi&amp;maindoc=/2016/aky/aky.xml&amp;id=/2016/aky/YksityiskohtaisetPerustelut/32/20/47/47.html" TargetMode="External"/><Relationship Id="rId58" Type="http://schemas.openxmlformats.org/officeDocument/2006/relationships/hyperlink" Target="http://budjetti.vm.fi/indox/sisalto.jsp?year=2016&amp;lang=fi&amp;maindoc=/2016/aky/aky.xml&amp;id=/2016/aky/YksityiskohtaisetPerustelut/12/28/92/92.html" TargetMode="External"/><Relationship Id="rId123" Type="http://schemas.openxmlformats.org/officeDocument/2006/relationships/hyperlink" Target="http://budjetti.vm.fi/indox/sisalto.jsp?year=2016&amp;lang=fi&amp;maindoc=/2016/aky/aky.xml&amp;id=/2016/aky/YksityiskohtaisetPerustelut/21/10/01/01.html" TargetMode="External"/><Relationship Id="rId330" Type="http://schemas.openxmlformats.org/officeDocument/2006/relationships/hyperlink" Target="http://budjetti.vm.fi/indox/sisalto.jsp?year=2016&amp;lang=fi&amp;maindoc=/2016/aky/aky.xml&amp;id=/2016/aky/YksityiskohtaisetPerustelut/29/01/01/01.html" TargetMode="External"/><Relationship Id="rId568" Type="http://schemas.openxmlformats.org/officeDocument/2006/relationships/hyperlink" Target="http://budjetti.vm.fi/indox/sisalto.jsp?year=2016&amp;lang=fi&amp;maindoc=/2016/aky/aky.xml&amp;id=/2016/aky/YksityiskohtaisetPerustelut/33/01/01/01.html" TargetMode="External"/><Relationship Id="rId165" Type="http://schemas.openxmlformats.org/officeDocument/2006/relationships/hyperlink" Target="http://budjetti.vm.fi/indox/sisalto.jsp?year=2016&amp;lang=fi&amp;maindoc=/2016/aky/aky.xml&amp;id=/2016/aky/YksityiskohtaisetPerustelut/23/90/26/26.html" TargetMode="External"/><Relationship Id="rId372" Type="http://schemas.openxmlformats.org/officeDocument/2006/relationships/hyperlink" Target="http://budjetti.vm.fi/indox/sisalto.jsp?year=2016&amp;lang=fi&amp;maindoc=/2016/aky/aky.xml&amp;id=/2016/aky/YksityiskohtaisetPerustelut/29/40/54/54.html" TargetMode="External"/><Relationship Id="rId428" Type="http://schemas.openxmlformats.org/officeDocument/2006/relationships/hyperlink" Target="http://budjetti.vm.fi/indox/sisalto.jsp?year=2016&amp;lang=fi&amp;maindoc=/2016/aky/aky.xml&amp;id=/2016/aky/YksityiskohtaisetPerustelut/30/10/50/50.html" TargetMode="External"/><Relationship Id="rId635" Type="http://schemas.openxmlformats.org/officeDocument/2006/relationships/hyperlink" Target="http://budjetti.vm.fi/indox/sisalto.jsp?year=2016&amp;lang=fi&amp;maindoc=/2016/aky/aky.xml&amp;id=/2016/aky/YksityiskohtaisetPerustelut/33/60/63/63.html" TargetMode="External"/><Relationship Id="rId677" Type="http://schemas.openxmlformats.org/officeDocument/2006/relationships/hyperlink" Target="http://budjetti.vm.fi/indox/sisalto.jsp?year=2016&amp;lang=fi&amp;maindoc=/2016/aky/aky.xml&amp;id=/2016/aky/YksityiskohtaisetPerustelut/36/01/90/90.html" TargetMode="External"/><Relationship Id="rId232" Type="http://schemas.openxmlformats.org/officeDocument/2006/relationships/hyperlink" Target="http://budjetti.vm.fi/indox/sisalto.jsp?year=2016&amp;lang=fi&amp;maindoc=/2016/aky/aky.xml&amp;id=/2016/aky/YksityiskohtaisetPerustelut/26/30/01/01.html" TargetMode="External"/><Relationship Id="rId274" Type="http://schemas.openxmlformats.org/officeDocument/2006/relationships/hyperlink" Target="http://budjetti.vm.fi/indox/sisalto.jsp?year=2016&amp;lang=fi&amp;maindoc=/2016/aky/aky.xml&amp;id=/2016/aky/YksityiskohtaisetPerustelut/28/20/11/11.html" TargetMode="External"/><Relationship Id="rId481" Type="http://schemas.openxmlformats.org/officeDocument/2006/relationships/hyperlink" Target="http://budjetti.vm.fi/indox/sisalto.jsp?year=2016&amp;lang=fi&amp;maindoc=/2016/aky/aky.xml&amp;id=/2016/aky/YksityiskohtaisetPerustelut/31/10/50/50.html" TargetMode="External"/><Relationship Id="rId27" Type="http://schemas.openxmlformats.org/officeDocument/2006/relationships/hyperlink" Target="http://budjetti.vm.fi/indox/sisalto.jsp?year=2016&amp;lang=fi&amp;maindoc=/2016/aky/aky.xml&amp;id=/2016/aky/YksityiskohtaisetPerustelut/11/19/06/06.html" TargetMode="External"/><Relationship Id="rId69" Type="http://schemas.openxmlformats.org/officeDocument/2006/relationships/hyperlink" Target="http://budjetti.vm.fi/indox/sisalto.jsp?year=2016&amp;lang=fi&amp;maindoc=/2016/aky/aky.xml&amp;id=/2016/aky/YksityiskohtaisetPerustelut/12/30/04/04.html" TargetMode="External"/><Relationship Id="rId134" Type="http://schemas.openxmlformats.org/officeDocument/2006/relationships/hyperlink" Target="http://budjetti.vm.fi/indox/sisalto.jsp?year=2016&amp;lang=fi&amp;maindoc=/2016/aky/aky.xml&amp;id=/2016/aky/YksityiskohtaisetPerustelut/21/40/40.html" TargetMode="External"/><Relationship Id="rId537" Type="http://schemas.openxmlformats.org/officeDocument/2006/relationships/hyperlink" Target="http://budjetti.vm.fi/indox/sisalto.jsp?year=2016&amp;lang=fi&amp;maindoc=/2016/aky/aky.xml&amp;id=/2016/aky/YksityiskohtaisetPerustelut/32/30/01/01.html" TargetMode="External"/><Relationship Id="rId579" Type="http://schemas.openxmlformats.org/officeDocument/2006/relationships/hyperlink" Target="http://budjetti.vm.fi/indox/sisalto.jsp?year=2016&amp;lang=fi&amp;maindoc=/2016/aky/aky.xml&amp;id=/2016/aky/YksityiskohtaisetPerustelut/33/02/05/05.html" TargetMode="External"/><Relationship Id="rId80" Type="http://schemas.openxmlformats.org/officeDocument/2006/relationships/hyperlink" Target="http://budjetti.vm.fi/indox/sisalto.jsp?year=2016&amp;lang=fi&amp;maindoc=/2016/aky/aky.xml&amp;id=/2016/aky/YksityiskohtaisetPerustelut/12/32/32.html" TargetMode="External"/><Relationship Id="rId176" Type="http://schemas.openxmlformats.org/officeDocument/2006/relationships/hyperlink" Target="http://budjetti.vm.fi/indox/sisalto.jsp?year=2016&amp;lang=fi&amp;maindoc=/2016/aky/aky.xml&amp;id=/2016/aky/YksityiskohtaisetPerustelut/24/30/30.html" TargetMode="External"/><Relationship Id="rId341" Type="http://schemas.openxmlformats.org/officeDocument/2006/relationships/hyperlink" Target="http://budjetti.vm.fi/indox/sisalto.jsp?year=2016&amp;lang=fi&amp;maindoc=/2016/aky/aky.xml&amp;id=/2016/aky/YksityiskohtaisetPerustelut/29/01/66/66.html" TargetMode="External"/><Relationship Id="rId383" Type="http://schemas.openxmlformats.org/officeDocument/2006/relationships/hyperlink" Target="http://budjetti.vm.fi/indox/sisalto.jsp?year=2016&amp;lang=fi&amp;maindoc=/2016/aky/aky.xml&amp;id=/2016/aky/YksityiskohtaisetPerustelut/29/80/03/03.html" TargetMode="External"/><Relationship Id="rId439" Type="http://schemas.openxmlformats.org/officeDocument/2006/relationships/hyperlink" Target="http://budjetti.vm.fi/indox/sisalto.jsp?year=2016&amp;lang=fi&amp;maindoc=/2016/aky/aky.xml&amp;id=/2016/aky/YksityiskohtaisetPerustelut/30/20/41/41.html" TargetMode="External"/><Relationship Id="rId590" Type="http://schemas.openxmlformats.org/officeDocument/2006/relationships/hyperlink" Target="http://budjetti.vm.fi/indox/sisalto.jsp?year=2016&amp;lang=fi&amp;maindoc=/2016/aky/aky.xml&amp;id=/2016/aky/YksityiskohtaisetPerustelut/33/10/50/50.html" TargetMode="External"/><Relationship Id="rId604" Type="http://schemas.openxmlformats.org/officeDocument/2006/relationships/hyperlink" Target="http://budjetti.vm.fi/indox/sisalto.jsp?year=2016&amp;lang=fi&amp;maindoc=/2016/aky/aky.xml&amp;id=/2016/aky/YksityiskohtaisetPerustelut/33/20/56/56.html" TargetMode="External"/><Relationship Id="rId646" Type="http://schemas.openxmlformats.org/officeDocument/2006/relationships/hyperlink" Target="http://budjetti.vm.fi/indox/sisalto.jsp?year=2016&amp;lang=fi&amp;maindoc=/2016/aky/aky.xml&amp;id=/2016/aky/YksityiskohtaisetPerustelut/33/80/41/41.html" TargetMode="External"/><Relationship Id="rId201" Type="http://schemas.openxmlformats.org/officeDocument/2006/relationships/hyperlink" Target="http://budjetti.vm.fi/indox/sisalto.jsp?year=2016&amp;lang=fi&amp;maindoc=/2016/aky/aky.xml&amp;id=/2016/aky/YksityiskohtaisetPerustelut/25/10/03/03.html" TargetMode="External"/><Relationship Id="rId243" Type="http://schemas.openxmlformats.org/officeDocument/2006/relationships/hyperlink" Target="http://budjetti.vm.fi/indox/sisalto.jsp?year=2016&amp;lang=fi&amp;maindoc=/2016/aky/aky.xml&amp;id=/2016/aky/YksityiskohtaisetPerustelut/27/01/01/01.html" TargetMode="External"/><Relationship Id="rId285" Type="http://schemas.openxmlformats.org/officeDocument/2006/relationships/hyperlink" Target="http://budjetti.vm.fi/indox/sisalto.jsp?year=2016&amp;lang=fi&amp;maindoc=/2016/aky/aky.xml&amp;id=/2016/aky/YksityiskohtaisetPerustelut/28/50/15/15.html" TargetMode="External"/><Relationship Id="rId450" Type="http://schemas.openxmlformats.org/officeDocument/2006/relationships/hyperlink" Target="http://budjetti.vm.fi/indox/sisalto.jsp?year=2016&amp;lang=fi&amp;maindoc=/2016/aky/aky.xml&amp;id=/2016/aky/YksityiskohtaisetPerustelut/30/40/21/21.html" TargetMode="External"/><Relationship Id="rId506" Type="http://schemas.openxmlformats.org/officeDocument/2006/relationships/hyperlink" Target="http://budjetti.vm.fi/indox/sisalto.jsp?year=2016&amp;lang=fi&amp;maindoc=/2016/aky/aky.xml&amp;id=/2016/aky/YksityiskohtaisetPerustelut/32/01/02/02.html" TargetMode="External"/><Relationship Id="rId38" Type="http://schemas.openxmlformats.org/officeDocument/2006/relationships/hyperlink" Target="http://budjetti.vm.fi/indox/sisalto.jsp?year=2016&amp;lang=fi&amp;maindoc=/2016/aky/aky.xml&amp;id=/2016/aky/YksityiskohtaisetPerustelut/12/25/20/20.html" TargetMode="External"/><Relationship Id="rId103" Type="http://schemas.openxmlformats.org/officeDocument/2006/relationships/hyperlink" Target="http://budjetti.vm.fi/indox/sisalto.jsp?year=2016&amp;lang=fi&amp;maindoc=/2016/aky/aky.xml&amp;id=/2016/aky/YksityiskohtaisetPerustelut/13/01/04/04.html" TargetMode="External"/><Relationship Id="rId310" Type="http://schemas.openxmlformats.org/officeDocument/2006/relationships/hyperlink" Target="http://budjetti.vm.fi/indox/sisalto.jsp?year=2016&amp;lang=fi&amp;maindoc=/2016/aky/aky.xml&amp;id=/2016/aky/YksityiskohtaisetPerustelut/28/90/30/30.html" TargetMode="External"/><Relationship Id="rId492" Type="http://schemas.openxmlformats.org/officeDocument/2006/relationships/hyperlink" Target="http://budjetti.vm.fi/indox/sisalto.jsp?year=2016&amp;lang=fi&amp;maindoc=/2016/aky/aky.xml&amp;id=/2016/aky/YksityiskohtaisetPerustelut/31/30/63/63.html" TargetMode="External"/><Relationship Id="rId548" Type="http://schemas.openxmlformats.org/officeDocument/2006/relationships/hyperlink" Target="http://budjetti.vm.fi/indox/sisalto.jsp?year=2016&amp;lang=fi&amp;maindoc=/2016/aky/aky.xml&amp;id=/2016/aky/YksityiskohtaisetPerustelut/32/40/51/51.html" TargetMode="External"/><Relationship Id="rId91" Type="http://schemas.openxmlformats.org/officeDocument/2006/relationships/hyperlink" Target="http://budjetti.vm.fi/indox/sisalto.jsp?year=2016&amp;lang=fi&amp;maindoc=/2016/aky/aky.xml&amp;id=/2016/aky/YksityiskohtaisetPerustelut/12/33/99/99.html" TargetMode="External"/><Relationship Id="rId145" Type="http://schemas.openxmlformats.org/officeDocument/2006/relationships/hyperlink" Target="http://budjetti.vm.fi/indox/sisalto.jsp?year=2016&amp;lang=fi&amp;maindoc=/2016/aky/aky.xml&amp;id=/2016/aky/YksityiskohtaisetPerustelut/22/02/01/01.html" TargetMode="External"/><Relationship Id="rId187" Type="http://schemas.openxmlformats.org/officeDocument/2006/relationships/hyperlink" Target="http://budjetti.vm.fi/indox/sisalto.jsp?year=2016&amp;lang=fi&amp;maindoc=/2016/aky/aky.xml&amp;id=/2016/aky/YksityiskohtaisetPerustelut/25/25.html" TargetMode="External"/><Relationship Id="rId352" Type="http://schemas.openxmlformats.org/officeDocument/2006/relationships/hyperlink" Target="http://budjetti.vm.fi/indox/sisalto.jsp?year=2016&amp;lang=fi&amp;maindoc=/2016/aky/aky.xml&amp;id=/2016/aky/YksityiskohtaisetPerustelut/29/30/30.html" TargetMode="External"/><Relationship Id="rId394" Type="http://schemas.openxmlformats.org/officeDocument/2006/relationships/hyperlink" Target="http://budjetti.vm.fi/indox/sisalto.jsp?year=2016&amp;lang=fi&amp;maindoc=/2016/aky/aky.xml&amp;id=/2016/aky/YksityiskohtaisetPerustelut/29/80/41/41.html" TargetMode="External"/><Relationship Id="rId408" Type="http://schemas.openxmlformats.org/officeDocument/2006/relationships/hyperlink" Target="http://budjetti.vm.fi/indox/sisalto.jsp?year=2016&amp;lang=fi&amp;maindoc=/2016/aky/aky.xml&amp;id=/2016/aky/YksityiskohtaisetPerustelut/29/90/50/50.html" TargetMode="External"/><Relationship Id="rId615" Type="http://schemas.openxmlformats.org/officeDocument/2006/relationships/hyperlink" Target="http://budjetti.vm.fi/indox/sisalto.jsp?year=2016&amp;lang=fi&amp;maindoc=/2016/aky/aky.xml&amp;id=/2016/aky/YksityiskohtaisetPerustelut/33/50/30/30.html" TargetMode="External"/><Relationship Id="rId212" Type="http://schemas.openxmlformats.org/officeDocument/2006/relationships/hyperlink" Target="http://budjetti.vm.fi/indox/sisalto.jsp?year=2016&amp;lang=fi&amp;maindoc=/2016/aky/aky.xml&amp;id=/2016/aky/YksityiskohtaisetPerustelut/25/50/20/20.html" TargetMode="External"/><Relationship Id="rId254" Type="http://schemas.openxmlformats.org/officeDocument/2006/relationships/hyperlink" Target="http://budjetti.vm.fi/indox/sisalto.jsp?year=2016&amp;lang=fi&amp;maindoc=/2016/aky/aky.xml&amp;id=/2016/aky/YksityiskohtaisetPerustelut/28/28.html" TargetMode="External"/><Relationship Id="rId657" Type="http://schemas.openxmlformats.org/officeDocument/2006/relationships/hyperlink" Target="http://budjetti.vm.fi/indox/sisalto.jsp?year=2016&amp;lang=fi&amp;maindoc=/2016/aky/aky.xml&amp;id=/2016/aky/YksityiskohtaisetPerustelut/35/10/10.html" TargetMode="External"/><Relationship Id="rId49" Type="http://schemas.openxmlformats.org/officeDocument/2006/relationships/hyperlink" Target="http://budjetti.vm.fi/indox/sisalto.jsp?year=2016&amp;lang=fi&amp;maindoc=/2016/aky/aky.xml&amp;id=/2016/aky/YksityiskohtaisetPerustelut/12/28/11/11.html" TargetMode="External"/><Relationship Id="rId114" Type="http://schemas.openxmlformats.org/officeDocument/2006/relationships/hyperlink" Target="http://budjetti.vm.fi/indox/sisalto.jsp?year=2016&amp;lang=fi&amp;maindoc=/2016/aky/aky.xml&amp;id=/2016/aky/YksityiskohtaisetPerustelut/15/01/01.html" TargetMode="External"/><Relationship Id="rId296" Type="http://schemas.openxmlformats.org/officeDocument/2006/relationships/hyperlink" Target="http://budjetti.vm.fi/indox/sisalto.jsp?year=2016&amp;lang=fi&amp;maindoc=/2016/aky/aky.xml&amp;id=/2016/aky/YksityiskohtaisetPerustelut/28/70/70.html" TargetMode="External"/><Relationship Id="rId461" Type="http://schemas.openxmlformats.org/officeDocument/2006/relationships/hyperlink" Target="http://budjetti.vm.fi/indox/sisalto.jsp?year=2016&amp;lang=fi&amp;maindoc=/2016/aky/aky.xml&amp;id=/2016/aky/YksityiskohtaisetPerustelut/30/40/53/53.html" TargetMode="External"/><Relationship Id="rId517" Type="http://schemas.openxmlformats.org/officeDocument/2006/relationships/hyperlink" Target="http://budjetti.vm.fi/indox/sisalto.jsp?year=2016&amp;lang=fi&amp;maindoc=/2016/aky/aky.xml&amp;id=/2016/aky/YksityiskohtaisetPerustelut/32/01/89/89.html" TargetMode="External"/><Relationship Id="rId559" Type="http://schemas.openxmlformats.org/officeDocument/2006/relationships/hyperlink" Target="http://budjetti.vm.fi/indox/sisalto.jsp?year=2016&amp;lang=fi&amp;maindoc=/2016/aky/aky.xml&amp;id=/2016/aky/YksityiskohtaisetPerustelut/32/60/43/43.html" TargetMode="External"/><Relationship Id="rId60" Type="http://schemas.openxmlformats.org/officeDocument/2006/relationships/hyperlink" Target="http://budjetti.vm.fi/indox/sisalto.jsp?year=2016&amp;lang=fi&amp;maindoc=/2016/aky/aky.xml&amp;id=/2016/aky/YksityiskohtaisetPerustelut/12/28/99/99.html" TargetMode="External"/><Relationship Id="rId156" Type="http://schemas.openxmlformats.org/officeDocument/2006/relationships/hyperlink" Target="http://budjetti.vm.fi/indox/sisalto.jsp?year=2016&amp;lang=fi&amp;maindoc=/2016/aky/aky.xml&amp;id=/2016/aky/YksityiskohtaisetPerustelut/23/01/29/29.html" TargetMode="External"/><Relationship Id="rId198" Type="http://schemas.openxmlformats.org/officeDocument/2006/relationships/hyperlink" Target="http://budjetti.vm.fi/indox/sisalto.jsp?year=2016&amp;lang=fi&amp;maindoc=/2016/aky/aky.xml&amp;id=/2016/aky/YksityiskohtaisetPerustelut/25/10/10.html" TargetMode="External"/><Relationship Id="rId321" Type="http://schemas.openxmlformats.org/officeDocument/2006/relationships/hyperlink" Target="http://budjetti.vm.fi/indox/sisalto.jsp?year=2016&amp;lang=fi&amp;maindoc=/2016/aky/aky.xml&amp;id=/2016/aky/YksityiskohtaisetPerustelut/28/92/87/87.html" TargetMode="External"/><Relationship Id="rId363" Type="http://schemas.openxmlformats.org/officeDocument/2006/relationships/hyperlink" Target="http://budjetti.vm.fi/indox/sisalto.jsp?year=2016&amp;lang=fi&amp;maindoc=/2016/aky/aky.xml&amp;id=/2016/aky/YksityiskohtaisetPerustelut/29/40/02/02.html" TargetMode="External"/><Relationship Id="rId419" Type="http://schemas.openxmlformats.org/officeDocument/2006/relationships/hyperlink" Target="http://budjetti.vm.fi/indox/sisalto.jsp?year=2016&amp;lang=fi&amp;maindoc=/2016/aky/aky.xml&amp;id=/2016/aky/YksityiskohtaisetPerustelut/30/01/22/22.html" TargetMode="External"/><Relationship Id="rId570" Type="http://schemas.openxmlformats.org/officeDocument/2006/relationships/hyperlink" Target="http://budjetti.vm.fi/indox/sisalto.jsp?year=2016&amp;lang=fi&amp;maindoc=/2016/aky/aky.xml&amp;id=/2016/aky/YksityiskohtaisetPerustelut/33/01/03/03.html" TargetMode="External"/><Relationship Id="rId626" Type="http://schemas.openxmlformats.org/officeDocument/2006/relationships/hyperlink" Target="http://budjetti.vm.fi/indox/sisalto.jsp?year=2016&amp;lang=fi&amp;maindoc=/2016/aky/aky.xml&amp;id=/2016/aky/YksityiskohtaisetPerustelut/33/60/31/31.html" TargetMode="External"/><Relationship Id="rId223" Type="http://schemas.openxmlformats.org/officeDocument/2006/relationships/hyperlink" Target="http://budjetti.vm.fi/indox/sisalto.jsp?year=2016&amp;lang=fi&amp;maindoc=/2016/aky/aky.xml&amp;id=/2016/aky/YksityiskohtaisetPerustelut/26/10/10.html" TargetMode="External"/><Relationship Id="rId430" Type="http://schemas.openxmlformats.org/officeDocument/2006/relationships/hyperlink" Target="http://budjetti.vm.fi/indox/sisalto.jsp?year=2016&amp;lang=fi&amp;maindoc=/2016/aky/aky.xml&amp;id=/2016/aky/YksityiskohtaisetPerustelut/30/10/54/54.html" TargetMode="External"/><Relationship Id="rId668" Type="http://schemas.openxmlformats.org/officeDocument/2006/relationships/hyperlink" Target="http://budjetti.vm.fi/indox/sisalto.jsp?year=2016&amp;lang=fi&amp;maindoc=/2016/aky/aky.xml&amp;id=/2016/aky/YksityiskohtaisetPerustelut/35/10/70/70.html" TargetMode="External"/><Relationship Id="rId18" Type="http://schemas.openxmlformats.org/officeDocument/2006/relationships/hyperlink" Target="http://budjetti.vm.fi/indox/sisalto.jsp?year=2016&amp;lang=fi&amp;maindoc=/2016/aky/aky.xml&amp;id=/2016/aky/YksityiskohtaisetPerustelut/11/10/03/03.html" TargetMode="External"/><Relationship Id="rId265" Type="http://schemas.openxmlformats.org/officeDocument/2006/relationships/hyperlink" Target="http://budjetti.vm.fi/indox/sisalto.jsp?year=2016&amp;lang=fi&amp;maindoc=/2016/aky/aky.xml&amp;id=/2016/aky/YksityiskohtaisetPerustelut/28/10/97/97.html" TargetMode="External"/><Relationship Id="rId472" Type="http://schemas.openxmlformats.org/officeDocument/2006/relationships/hyperlink" Target="http://budjetti.vm.fi/indox/sisalto.jsp?year=2016&amp;lang=fi&amp;maindoc=/2016/aky/aky.xml&amp;id=/2016/aky/YksityiskohtaisetPerustelut/31/01/01.html" TargetMode="External"/><Relationship Id="rId528" Type="http://schemas.openxmlformats.org/officeDocument/2006/relationships/hyperlink" Target="http://budjetti.vm.fi/indox/sisalto.jsp?year=2016&amp;lang=fi&amp;maindoc=/2016/aky/aky.xml&amp;id=/2016/aky/YksityiskohtaisetPerustelut/32/20/49/49.html" TargetMode="External"/><Relationship Id="rId125" Type="http://schemas.openxmlformats.org/officeDocument/2006/relationships/hyperlink" Target="http://budjetti.vm.fi/indox/sisalto.jsp?year=2016&amp;lang=fi&amp;maindoc=/2016/aky/aky.xml&amp;id=/2016/aky/YksityiskohtaisetPerustelut/21/10/29/29.html" TargetMode="External"/><Relationship Id="rId167" Type="http://schemas.openxmlformats.org/officeDocument/2006/relationships/hyperlink" Target="http://budjetti.vm.fi/indox/sisalto.jsp?year=2016&amp;lang=fi&amp;maindoc=/2016/aky/aky.xml&amp;id=/2016/aky/YksityiskohtaisetPerustelut/24/01/01.html" TargetMode="External"/><Relationship Id="rId332" Type="http://schemas.openxmlformats.org/officeDocument/2006/relationships/hyperlink" Target="http://budjetti.vm.fi/indox/sisalto.jsp?year=2016&amp;lang=fi&amp;maindoc=/2016/aky/aky.xml&amp;id=/2016/aky/YksityiskohtaisetPerustelut/29/01/03/03.html" TargetMode="External"/><Relationship Id="rId374" Type="http://schemas.openxmlformats.org/officeDocument/2006/relationships/hyperlink" Target="http://budjetti.vm.fi/indox/sisalto.jsp?year=2016&amp;lang=fi&amp;maindoc=/2016/aky/aky.xml&amp;id=/2016/aky/YksityiskohtaisetPerustelut/29/40/66/66.html" TargetMode="External"/><Relationship Id="rId581" Type="http://schemas.openxmlformats.org/officeDocument/2006/relationships/hyperlink" Target="http://budjetti.vm.fi/indox/sisalto.jsp?year=2016&amp;lang=fi&amp;maindoc=/2016/aky/aky.xml&amp;id=/2016/aky/YksityiskohtaisetPerustelut/33/02/07/07.html" TargetMode="External"/><Relationship Id="rId71" Type="http://schemas.openxmlformats.org/officeDocument/2006/relationships/hyperlink" Target="http://budjetti.vm.fi/indox/sisalto.jsp?year=2016&amp;lang=fi&amp;maindoc=/2016/aky/aky.xml&amp;id=/2016/aky/YksityiskohtaisetPerustelut/12/30/40/40.html" TargetMode="External"/><Relationship Id="rId92" Type="http://schemas.openxmlformats.org/officeDocument/2006/relationships/hyperlink" Target="http://budjetti.vm.fi/indox/sisalto.jsp?year=2016&amp;lang=fi&amp;maindoc=/2016/aky/aky.xml&amp;id=/2016/aky/YksityiskohtaisetPerustelut/12/35/35.html" TargetMode="External"/><Relationship Id="rId213" Type="http://schemas.openxmlformats.org/officeDocument/2006/relationships/hyperlink" Target="http://budjetti.vm.fi/indox/sisalto.jsp?year=2016&amp;lang=fi&amp;maindoc=/2016/aky/aky.xml&amp;id=/2016/aky/YksityiskohtaisetPerustelut/26/26.html" TargetMode="External"/><Relationship Id="rId234" Type="http://schemas.openxmlformats.org/officeDocument/2006/relationships/hyperlink" Target="http://budjetti.vm.fi/indox/sisalto.jsp?year=2016&amp;lang=fi&amp;maindoc=/2016/aky/aky.xml&amp;id=/2016/aky/YksityiskohtaisetPerustelut/26/30/20/20.html" TargetMode="External"/><Relationship Id="rId420" Type="http://schemas.openxmlformats.org/officeDocument/2006/relationships/hyperlink" Target="http://budjetti.vm.fi/indox/sisalto.jsp?year=2016&amp;lang=fi&amp;maindoc=/2016/aky/aky.xml&amp;id=/2016/aky/YksityiskohtaisetPerustelut/30/01/29/29.html" TargetMode="External"/><Relationship Id="rId616" Type="http://schemas.openxmlformats.org/officeDocument/2006/relationships/hyperlink" Target="http://budjetti.vm.fi/indox/sisalto.jsp?year=2016&amp;lang=fi&amp;maindoc=/2016/aky/aky.xml&amp;id=/2016/aky/YksityiskohtaisetPerustelut/33/50/50/50.html" TargetMode="External"/><Relationship Id="rId637" Type="http://schemas.openxmlformats.org/officeDocument/2006/relationships/hyperlink" Target="http://budjetti.vm.fi/indox/sisalto.jsp?year=2016&amp;lang=fi&amp;maindoc=/2016/aky/aky.xml&amp;id=/2016/aky/YksityiskohtaisetPerustelut/33/70/70.html" TargetMode="External"/><Relationship Id="rId658" Type="http://schemas.openxmlformats.org/officeDocument/2006/relationships/hyperlink" Target="http://budjetti.vm.fi/indox/sisalto.jsp?year=2016&amp;lang=fi&amp;maindoc=/2016/aky/aky.xml&amp;id=/2016/aky/YksityiskohtaisetPerustelut/35/10/20/20.html" TargetMode="External"/><Relationship Id="rId679" Type="http://schemas.openxmlformats.org/officeDocument/2006/relationships/hyperlink" Target="http://budjetti.vm.fi/indox/sisalto.jsp?year=2016&amp;lang=fi&amp;maindoc=/2016/aky/aky.xml&amp;id=/2016/aky/YksityiskohtaisetPerustelut/36/09/20/20.html" TargetMode="External"/><Relationship Id="rId2" Type="http://schemas.openxmlformats.org/officeDocument/2006/relationships/hyperlink" Target="http://budjetti.vm.fi/indox/sisalto.jsp?year=2016&amp;lang=fi&amp;maindoc=/2016/aky/aky.xml&amp;id=/2016/aky/YksityiskohtaisetPerustelut/11/01/01.html" TargetMode="External"/><Relationship Id="rId29" Type="http://schemas.openxmlformats.org/officeDocument/2006/relationships/hyperlink" Target="http://budjetti.vm.fi/indox/sisalto.jsp?year=2016&amp;lang=fi&amp;maindoc=/2016/aky/aky.xml&amp;id=/2016/aky/YksityiskohtaisetPerustelut/11/19/09/09.html" TargetMode="External"/><Relationship Id="rId255" Type="http://schemas.openxmlformats.org/officeDocument/2006/relationships/hyperlink" Target="http://budjetti.vm.fi/indox/sisalto.jsp?year=2016&amp;lang=fi&amp;maindoc=/2016/aky/aky.xml&amp;id=/2016/aky/YksityiskohtaisetPerustelut/28/01/01.html" TargetMode="External"/><Relationship Id="rId276" Type="http://schemas.openxmlformats.org/officeDocument/2006/relationships/hyperlink" Target="http://budjetti.vm.fi/indox/sisalto.jsp?year=2016&amp;lang=fi&amp;maindoc=/2016/aky/aky.xml&amp;id=/2016/aky/YksityiskohtaisetPerustelut/28/30/30.html" TargetMode="External"/><Relationship Id="rId297" Type="http://schemas.openxmlformats.org/officeDocument/2006/relationships/hyperlink" Target="http://budjetti.vm.fi/indox/sisalto.jsp?year=2016&amp;lang=fi&amp;maindoc=/2016/aky/aky.xml&amp;id=/2016/aky/YksityiskohtaisetPerustelut/28/70/01/01.html" TargetMode="External"/><Relationship Id="rId441" Type="http://schemas.openxmlformats.org/officeDocument/2006/relationships/hyperlink" Target="http://budjetti.vm.fi/indox/sisalto.jsp?year=2016&amp;lang=fi&amp;maindoc=/2016/aky/aky.xml&amp;id=/2016/aky/YksityiskohtaisetPerustelut/30/20/43/43.html" TargetMode="External"/><Relationship Id="rId462" Type="http://schemas.openxmlformats.org/officeDocument/2006/relationships/hyperlink" Target="http://budjetti.vm.fi/indox/sisalto.jsp?year=2016&amp;lang=fi&amp;maindoc=/2016/aky/aky.xml&amp;id=/2016/aky/YksityiskohtaisetPerustelut/30/40/62/62.html" TargetMode="External"/><Relationship Id="rId483" Type="http://schemas.openxmlformats.org/officeDocument/2006/relationships/hyperlink" Target="http://budjetti.vm.fi/indox/sisalto.jsp?year=2016&amp;lang=fi&amp;maindoc=/2016/aky/aky.xml&amp;id=/2016/aky/YksityiskohtaisetPerustelut/31/10/77/77.html" TargetMode="External"/><Relationship Id="rId518" Type="http://schemas.openxmlformats.org/officeDocument/2006/relationships/hyperlink" Target="http://budjetti.vm.fi/indox/sisalto.jsp?year=2016&amp;lang=fi&amp;maindoc=/2016/aky/aky.xml&amp;id=/2016/aky/YksityiskohtaisetPerustelut/32/20/20.html" TargetMode="External"/><Relationship Id="rId539" Type="http://schemas.openxmlformats.org/officeDocument/2006/relationships/hyperlink" Target="http://budjetti.vm.fi/indox/sisalto.jsp?year=2016&amp;lang=fi&amp;maindoc=/2016/aky/aky.xml&amp;id=/2016/aky/YksityiskohtaisetPerustelut/32/30/45/45.html" TargetMode="External"/><Relationship Id="rId40" Type="http://schemas.openxmlformats.org/officeDocument/2006/relationships/hyperlink" Target="http://budjetti.vm.fi/indox/sisalto.jsp?year=2016&amp;lang=fi&amp;maindoc=/2016/aky/aky.xml&amp;id=/2016/aky/YksityiskohtaisetPerustelut/12/26/26.html" TargetMode="External"/><Relationship Id="rId115" Type="http://schemas.openxmlformats.org/officeDocument/2006/relationships/hyperlink" Target="http://budjetti.vm.fi/indox/sisalto.jsp?year=2016&amp;lang=fi&amp;maindoc=/2016/aky/aky.xml&amp;id=/2016/aky/YksityiskohtaisetPerustelut/15/01/02/02.html" TargetMode="External"/><Relationship Id="rId136" Type="http://schemas.openxmlformats.org/officeDocument/2006/relationships/hyperlink" Target="http://budjetti.vm.fi/indox/sisalto.jsp?year=2016&amp;lang=fi&amp;maindoc=/2016/aky/aky.xml&amp;id=/2016/aky/YksityiskohtaisetPerustelut/21/40/29/29.html" TargetMode="External"/><Relationship Id="rId157" Type="http://schemas.openxmlformats.org/officeDocument/2006/relationships/hyperlink" Target="http://budjetti.vm.fi/indox/sisalto.jsp?year=2016&amp;lang=fi&amp;maindoc=/2016/aky/aky.xml&amp;id=/2016/aky/YksityiskohtaisetPerustelut/23/10/10.html" TargetMode="External"/><Relationship Id="rId178" Type="http://schemas.openxmlformats.org/officeDocument/2006/relationships/hyperlink" Target="http://budjetti.vm.fi/indox/sisalto.jsp?year=2016&amp;lang=fi&amp;maindoc=/2016/aky/aky.xml&amp;id=/2016/aky/YksityiskohtaisetPerustelut/24/30/66/66.html" TargetMode="External"/><Relationship Id="rId301" Type="http://schemas.openxmlformats.org/officeDocument/2006/relationships/hyperlink" Target="http://budjetti.vm.fi/indox/sisalto.jsp?year=2016&amp;lang=fi&amp;maindoc=/2016/aky/aky.xml&amp;id=/2016/aky/YksityiskohtaisetPerustelut/28/70/21/21.html" TargetMode="External"/><Relationship Id="rId322" Type="http://schemas.openxmlformats.org/officeDocument/2006/relationships/hyperlink" Target="http://budjetti.vm.fi/indox/sisalto.jsp?year=2016&amp;lang=fi&amp;maindoc=/2016/aky/aky.xml&amp;id=/2016/aky/YksityiskohtaisetPerustelut/28/92/95/95.html" TargetMode="External"/><Relationship Id="rId343" Type="http://schemas.openxmlformats.org/officeDocument/2006/relationships/hyperlink" Target="http://budjetti.vm.fi/indox/sisalto.jsp?year=2016&amp;lang=fi&amp;maindoc=/2016/aky/aky.xml&amp;id=/2016/aky/YksityiskohtaisetPerustelut/29/10/01/01.html" TargetMode="External"/><Relationship Id="rId364" Type="http://schemas.openxmlformats.org/officeDocument/2006/relationships/hyperlink" Target="http://budjetti.vm.fi/indox/sisalto.jsp?year=2016&amp;lang=fi&amp;maindoc=/2016/aky/aky.xml&amp;id=/2016/aky/YksityiskohtaisetPerustelut/29/40/03/03.html" TargetMode="External"/><Relationship Id="rId550" Type="http://schemas.openxmlformats.org/officeDocument/2006/relationships/hyperlink" Target="http://budjetti.vm.fi/indox/sisalto.jsp?year=2016&amp;lang=fi&amp;maindoc=/2016/aky/aky.xml&amp;id=/2016/aky/YksityiskohtaisetPerustelut/32/40/95/95.html" TargetMode="External"/><Relationship Id="rId61" Type="http://schemas.openxmlformats.org/officeDocument/2006/relationships/hyperlink" Target="http://budjetti.vm.fi/indox/sisalto.jsp?year=2016&amp;lang=fi&amp;maindoc=/2016/aky/aky.xml&amp;id=/2016/aky/YksityiskohtaisetPerustelut/12/29/29.html" TargetMode="External"/><Relationship Id="rId82" Type="http://schemas.openxmlformats.org/officeDocument/2006/relationships/hyperlink" Target="http://budjetti.vm.fi/indox/sisalto.jsp?year=2016&amp;lang=fi&amp;maindoc=/2016/aky/aky.xml&amp;id=/2016/aky/YksityiskohtaisetPerustelut/12/32/30/30.html" TargetMode="External"/><Relationship Id="rId199" Type="http://schemas.openxmlformats.org/officeDocument/2006/relationships/hyperlink" Target="http://budjetti.vm.fi/indox/sisalto.jsp?year=2016&amp;lang=fi&amp;maindoc=/2016/aky/aky.xml&amp;id=/2016/aky/YksityiskohtaisetPerustelut/25/10/01/01.html" TargetMode="External"/><Relationship Id="rId203" Type="http://schemas.openxmlformats.org/officeDocument/2006/relationships/hyperlink" Target="http://budjetti.vm.fi/indox/sisalto.jsp?year=2016&amp;lang=fi&amp;maindoc=/2016/aky/aky.xml&amp;id=/2016/aky/YksityiskohtaisetPerustelut/25/10/50/50.html" TargetMode="External"/><Relationship Id="rId385" Type="http://schemas.openxmlformats.org/officeDocument/2006/relationships/hyperlink" Target="http://budjetti.vm.fi/indox/sisalto.jsp?year=2016&amp;lang=fi&amp;maindoc=/2016/aky/aky.xml&amp;id=/2016/aky/YksityiskohtaisetPerustelut/29/80/05/05.html" TargetMode="External"/><Relationship Id="rId571" Type="http://schemas.openxmlformats.org/officeDocument/2006/relationships/hyperlink" Target="http://budjetti.vm.fi/indox/sisalto.jsp?year=2016&amp;lang=fi&amp;maindoc=/2016/aky/aky.xml&amp;id=/2016/aky/YksityiskohtaisetPerustelut/33/01/04/04.html" TargetMode="External"/><Relationship Id="rId592" Type="http://schemas.openxmlformats.org/officeDocument/2006/relationships/hyperlink" Target="http://budjetti.vm.fi/indox/sisalto.jsp?year=2016&amp;lang=fi&amp;maindoc=/2016/aky/aky.xml&amp;id=/2016/aky/YksityiskohtaisetPerustelut/33/10/52/52.html" TargetMode="External"/><Relationship Id="rId606" Type="http://schemas.openxmlformats.org/officeDocument/2006/relationships/hyperlink" Target="http://budjetti.vm.fi/indox/sisalto.jsp?year=2016&amp;lang=fi&amp;maindoc=/2016/aky/aky.xml&amp;id=/2016/aky/YksityiskohtaisetPerustelut/33/30/60/60.html" TargetMode="External"/><Relationship Id="rId627" Type="http://schemas.openxmlformats.org/officeDocument/2006/relationships/hyperlink" Target="http://budjetti.vm.fi/indox/sisalto.jsp?year=2016&amp;lang=fi&amp;maindoc=/2016/aky/aky.xml&amp;id=/2016/aky/YksityiskohtaisetPerustelut/33/60/32/32.html" TargetMode="External"/><Relationship Id="rId648" Type="http://schemas.openxmlformats.org/officeDocument/2006/relationships/hyperlink" Target="http://budjetti.vm.fi/indox/sisalto.jsp?year=2016&amp;lang=fi&amp;maindoc=/2016/aky/aky.xml&amp;id=/2016/aky/YksityiskohtaisetPerustelut/33/80/50/50.html" TargetMode="External"/><Relationship Id="rId669" Type="http://schemas.openxmlformats.org/officeDocument/2006/relationships/hyperlink" Target="http://budjetti.vm.fi/indox/sisalto.jsp?year=2016&amp;lang=fi&amp;maindoc=/2016/aky/aky.xml&amp;id=/2016/aky/YksityiskohtaisetPerustelut/35/20/20.html" TargetMode="External"/><Relationship Id="rId19" Type="http://schemas.openxmlformats.org/officeDocument/2006/relationships/hyperlink" Target="http://budjetti.vm.fi/indox/sisalto.jsp?year=2016&amp;lang=fi&amp;maindoc=/2016/aky/aky.xml&amp;id=/2016/aky/YksityiskohtaisetPerustelut/11/10/05/05.html" TargetMode="External"/><Relationship Id="rId224" Type="http://schemas.openxmlformats.org/officeDocument/2006/relationships/hyperlink" Target="http://budjetti.vm.fi/indox/sisalto.jsp?year=2016&amp;lang=fi&amp;maindoc=/2016/aky/aky.xml&amp;id=/2016/aky/YksityiskohtaisetPerustelut/26/10/01/01.html" TargetMode="External"/><Relationship Id="rId245" Type="http://schemas.openxmlformats.org/officeDocument/2006/relationships/hyperlink" Target="http://budjetti.vm.fi/indox/sisalto.jsp?year=2016&amp;lang=fi&amp;maindoc=/2016/aky/aky.xml&amp;id=/2016/aky/YksityiskohtaisetPerustelut/27/01/29/29.html" TargetMode="External"/><Relationship Id="rId266" Type="http://schemas.openxmlformats.org/officeDocument/2006/relationships/hyperlink" Target="http://budjetti.vm.fi/indox/sisalto.jsp?year=2016&amp;lang=fi&amp;maindoc=/2016/aky/aky.xml&amp;id=/2016/aky/YksityiskohtaisetPerustelut/28/20/20.html" TargetMode="External"/><Relationship Id="rId287" Type="http://schemas.openxmlformats.org/officeDocument/2006/relationships/hyperlink" Target="http://budjetti.vm.fi/indox/sisalto.jsp?year=2016&amp;lang=fi&amp;maindoc=/2016/aky/aky.xml&amp;id=/2016/aky/YksityiskohtaisetPerustelut/28/50/17/17.html" TargetMode="External"/><Relationship Id="rId410" Type="http://schemas.openxmlformats.org/officeDocument/2006/relationships/hyperlink" Target="http://budjetti.vm.fi/indox/sisalto.jsp?year=2016&amp;lang=fi&amp;maindoc=/2016/aky/aky.xml&amp;id=/2016/aky/YksityiskohtaisetPerustelut/29/91/91.html" TargetMode="External"/><Relationship Id="rId431" Type="http://schemas.openxmlformats.org/officeDocument/2006/relationships/hyperlink" Target="http://budjetti.vm.fi/indox/sisalto.jsp?year=2016&amp;lang=fi&amp;maindoc=/2016/aky/aky.xml&amp;id=/2016/aky/YksityiskohtaisetPerustelut/30/10/55/55.html" TargetMode="External"/><Relationship Id="rId452" Type="http://schemas.openxmlformats.org/officeDocument/2006/relationships/hyperlink" Target="http://budjetti.vm.fi/indox/sisalto.jsp?year=2016&amp;lang=fi&amp;maindoc=/2016/aky/aky.xml&amp;id=/2016/aky/YksityiskohtaisetPerustelut/30/40/31/31.html" TargetMode="External"/><Relationship Id="rId473" Type="http://schemas.openxmlformats.org/officeDocument/2006/relationships/hyperlink" Target="http://budjetti.vm.fi/indox/sisalto.jsp?year=2016&amp;lang=fi&amp;maindoc=/2016/aky/aky.xml&amp;id=/2016/aky/YksityiskohtaisetPerustelut/31/01/01/01.html" TargetMode="External"/><Relationship Id="rId494" Type="http://schemas.openxmlformats.org/officeDocument/2006/relationships/hyperlink" Target="http://budjetti.vm.fi/indox/sisalto.jsp?year=2016&amp;lang=fi&amp;maindoc=/2016/aky/aky.xml&amp;id=/2016/aky/YksityiskohtaisetPerustelut/31/30/66/66.html" TargetMode="External"/><Relationship Id="rId508" Type="http://schemas.openxmlformats.org/officeDocument/2006/relationships/hyperlink" Target="http://budjetti.vm.fi/indox/sisalto.jsp?year=2016&amp;lang=fi&amp;maindoc=/2016/aky/aky.xml&amp;id=/2016/aky/YksityiskohtaisetPerustelut/32/01/21/21.html" TargetMode="External"/><Relationship Id="rId529" Type="http://schemas.openxmlformats.org/officeDocument/2006/relationships/hyperlink" Target="http://budjetti.vm.fi/indox/sisalto.jsp?year=2016&amp;lang=fi&amp;maindoc=/2016/aky/aky.xml&amp;id=/2016/aky/YksityiskohtaisetPerustelut/32/20/50/50.html" TargetMode="External"/><Relationship Id="rId680" Type="http://schemas.openxmlformats.org/officeDocument/2006/relationships/hyperlink" Target="http://www.veronmaksajat.fi/luvut/Tilastot/Verotuotot/" TargetMode="External"/><Relationship Id="rId30" Type="http://schemas.openxmlformats.org/officeDocument/2006/relationships/hyperlink" Target="http://budjetti.vm.fi/indox/sisalto.jsp?year=2016&amp;lang=fi&amp;maindoc=/2016/aky/aky.xml&amp;id=/2016/aky/YksityiskohtaisetPerustelut/11/19/10/10.html" TargetMode="External"/><Relationship Id="rId105" Type="http://schemas.openxmlformats.org/officeDocument/2006/relationships/hyperlink" Target="http://budjetti.vm.fi/indox/sisalto.jsp?year=2016&amp;lang=fi&amp;maindoc=/2016/aky/aky.xml&amp;id=/2016/aky/YksityiskohtaisetPerustelut/13/01/07/07.html" TargetMode="External"/><Relationship Id="rId126" Type="http://schemas.openxmlformats.org/officeDocument/2006/relationships/hyperlink" Target="http://budjetti.vm.fi/indox/sisalto.jsp?year=2016&amp;lang=fi&amp;maindoc=/2016/aky/aky.xml&amp;id=/2016/aky/YksityiskohtaisetPerustelut/21/10/51/51.html" TargetMode="External"/><Relationship Id="rId147" Type="http://schemas.openxmlformats.org/officeDocument/2006/relationships/hyperlink" Target="http://budjetti.vm.fi/indox/sisalto.jsp?year=2016&amp;lang=fi&amp;maindoc=/2016/aky/aky.xml&amp;id=/2016/aky/YksityiskohtaisetPerustelut/22/02/29/29.html" TargetMode="External"/><Relationship Id="rId168" Type="http://schemas.openxmlformats.org/officeDocument/2006/relationships/hyperlink" Target="http://budjetti.vm.fi/indox/sisalto.jsp?year=2016&amp;lang=fi&amp;maindoc=/2016/aky/aky.xml&amp;id=/2016/aky/YksityiskohtaisetPerustelut/24/01/01/01.html" TargetMode="External"/><Relationship Id="rId312" Type="http://schemas.openxmlformats.org/officeDocument/2006/relationships/hyperlink" Target="http://budjetti.vm.fi/indox/sisalto.jsp?year=2016&amp;lang=fi&amp;maindoc=/2016/aky/aky.xml&amp;id=/2016/aky/YksityiskohtaisetPerustelut/28/90/34/34.html" TargetMode="External"/><Relationship Id="rId333" Type="http://schemas.openxmlformats.org/officeDocument/2006/relationships/hyperlink" Target="http://budjetti.vm.fi/indox/sisalto.jsp?year=2016&amp;lang=fi&amp;maindoc=/2016/aky/aky.xml&amp;id=/2016/aky/YksityiskohtaisetPerustelut/29/01/04/04.html" TargetMode="External"/><Relationship Id="rId354" Type="http://schemas.openxmlformats.org/officeDocument/2006/relationships/hyperlink" Target="http://budjetti.vm.fi/indox/sisalto.jsp?year=2016&amp;lang=fi&amp;maindoc=/2016/aky/aky.xml&amp;id=/2016/aky/YksityiskohtaisetPerustelut/29/30/21/21.html" TargetMode="External"/><Relationship Id="rId540" Type="http://schemas.openxmlformats.org/officeDocument/2006/relationships/hyperlink" Target="http://budjetti.vm.fi/indox/sisalto.jsp?year=2016&amp;lang=fi&amp;maindoc=/2016/aky/aky.xml&amp;id=/2016/aky/YksityiskohtaisetPerustelut/32/30/51/51.html" TargetMode="External"/><Relationship Id="rId51" Type="http://schemas.openxmlformats.org/officeDocument/2006/relationships/hyperlink" Target="http://budjetti.vm.fi/indox/sisalto.jsp?year=2016&amp;lang=fi&amp;maindoc=/2016/aky/aky.xml&amp;id=/2016/aky/YksityiskohtaisetPerustelut/12/28/13/13.html" TargetMode="External"/><Relationship Id="rId72" Type="http://schemas.openxmlformats.org/officeDocument/2006/relationships/hyperlink" Target="http://budjetti.vm.fi/indox/sisalto.jsp?year=2016&amp;lang=fi&amp;maindoc=/2016/aky/aky.xml&amp;id=/2016/aky/YksityiskohtaisetPerustelut/12/30/41/41.html" TargetMode="External"/><Relationship Id="rId93" Type="http://schemas.openxmlformats.org/officeDocument/2006/relationships/hyperlink" Target="http://budjetti.vm.fi/indox/sisalto.jsp?year=2016&amp;lang=fi&amp;maindoc=/2016/aky/aky.xml&amp;id=/2016/aky/YksityiskohtaisetPerustelut/12/35/10/10.html" TargetMode="External"/><Relationship Id="rId189" Type="http://schemas.openxmlformats.org/officeDocument/2006/relationships/hyperlink" Target="http://budjetti.vm.fi/indox/sisalto.jsp?year=2016&amp;lang=fi&amp;maindoc=/2016/aky/aky.xml&amp;id=/2016/aky/YksityiskohtaisetPerustelut/25/01/01/01.html" TargetMode="External"/><Relationship Id="rId375" Type="http://schemas.openxmlformats.org/officeDocument/2006/relationships/hyperlink" Target="http://budjetti.vm.fi/indox/sisalto.jsp?year=2016&amp;lang=fi&amp;maindoc=/2016/aky/aky.xml&amp;id=/2016/aky/YksityiskohtaisetPerustelut/29/70/70.html" TargetMode="External"/><Relationship Id="rId396" Type="http://schemas.openxmlformats.org/officeDocument/2006/relationships/hyperlink" Target="http://budjetti.vm.fi/indox/sisalto.jsp?year=2016&amp;lang=fi&amp;maindoc=/2016/aky/aky.xml&amp;id=/2016/aky/YksityiskohtaisetPerustelut/29/80/51/51.html" TargetMode="External"/><Relationship Id="rId561" Type="http://schemas.openxmlformats.org/officeDocument/2006/relationships/hyperlink" Target="http://budjetti.vm.fi/indox/sisalto.jsp?year=2016&amp;lang=fi&amp;maindoc=/2016/aky/aky.xml&amp;id=/2016/aky/YksityiskohtaisetPerustelut/32/60/45/45.html" TargetMode="External"/><Relationship Id="rId582" Type="http://schemas.openxmlformats.org/officeDocument/2006/relationships/hyperlink" Target="http://budjetti.vm.fi/indox/sisalto.jsp?year=2016&amp;lang=fi&amp;maindoc=/2016/aky/aky.xml&amp;id=/2016/aky/YksityiskohtaisetPerustelut/33/02/20/20.html" TargetMode="External"/><Relationship Id="rId617" Type="http://schemas.openxmlformats.org/officeDocument/2006/relationships/hyperlink" Target="http://budjetti.vm.fi/indox/sisalto.jsp?year=2016&amp;lang=fi&amp;maindoc=/2016/aky/aky.xml&amp;id=/2016/aky/YksityiskohtaisetPerustelut/33/50/51/51.html" TargetMode="External"/><Relationship Id="rId638" Type="http://schemas.openxmlformats.org/officeDocument/2006/relationships/hyperlink" Target="http://budjetti.vm.fi/indox/sisalto.jsp?year=2016&amp;lang=fi&amp;maindoc=/2016/aky/aky.xml&amp;id=/2016/aky/YksityiskohtaisetPerustelut/33/70/20/20.html" TargetMode="External"/><Relationship Id="rId659" Type="http://schemas.openxmlformats.org/officeDocument/2006/relationships/hyperlink" Target="http://budjetti.vm.fi/indox/sisalto.jsp?year=2016&amp;lang=fi&amp;maindoc=/2016/aky/aky.xml&amp;id=/2016/aky/YksityiskohtaisetPerustelut/35/10/21/21.html" TargetMode="External"/><Relationship Id="rId3" Type="http://schemas.openxmlformats.org/officeDocument/2006/relationships/hyperlink" Target="http://budjetti.vm.fi/indox/sisalto.jsp?year=2016&amp;lang=fi&amp;maindoc=/2016/aky/aky.xml&amp;id=/2016/aky/YksityiskohtaisetPerustelut/11/01/01/01.html" TargetMode="External"/><Relationship Id="rId214" Type="http://schemas.openxmlformats.org/officeDocument/2006/relationships/hyperlink" Target="http://budjetti.vm.fi/indox/sisalto.jsp?year=2016&amp;lang=fi&amp;maindoc=/2016/aky/aky.xml&amp;id=/2016/aky/YksityiskohtaisetPerustelut/26/01/01.html" TargetMode="External"/><Relationship Id="rId235" Type="http://schemas.openxmlformats.org/officeDocument/2006/relationships/hyperlink" Target="http://budjetti.vm.fi/indox/sisalto.jsp?year=2016&amp;lang=fi&amp;maindoc=/2016/aky/aky.xml&amp;id=/2016/aky/YksityiskohtaisetPerustelut/26/30/43/43.html" TargetMode="External"/><Relationship Id="rId256" Type="http://schemas.openxmlformats.org/officeDocument/2006/relationships/hyperlink" Target="http://budjetti.vm.fi/indox/sisalto.jsp?year=2016&amp;lang=fi&amp;maindoc=/2016/aky/aky.xml&amp;id=/2016/aky/YksityiskohtaisetPerustelut/28/01/01/01.html" TargetMode="External"/><Relationship Id="rId277" Type="http://schemas.openxmlformats.org/officeDocument/2006/relationships/hyperlink" Target="http://budjetti.vm.fi/indox/sisalto.jsp?year=2016&amp;lang=fi&amp;maindoc=/2016/aky/aky.xml&amp;id=/2016/aky/YksityiskohtaisetPerustelut/28/30/01/01.html" TargetMode="External"/><Relationship Id="rId298" Type="http://schemas.openxmlformats.org/officeDocument/2006/relationships/hyperlink" Target="http://budjetti.vm.fi/indox/sisalto.jsp?year=2016&amp;lang=fi&amp;maindoc=/2016/aky/aky.xml&amp;id=/2016/aky/YksityiskohtaisetPerustelut/28/70/02/02.html" TargetMode="External"/><Relationship Id="rId400" Type="http://schemas.openxmlformats.org/officeDocument/2006/relationships/hyperlink" Target="http://budjetti.vm.fi/indox/sisalto.jsp?year=2016&amp;lang=fi&amp;maindoc=/2016/aky/aky.xml&amp;id=/2016/aky/YksityiskohtaisetPerustelut/29/80/55/55.html" TargetMode="External"/><Relationship Id="rId421" Type="http://schemas.openxmlformats.org/officeDocument/2006/relationships/hyperlink" Target="http://budjetti.vm.fi/indox/sisalto.jsp?year=2016&amp;lang=fi&amp;maindoc=/2016/aky/aky.xml&amp;id=/2016/aky/YksityiskohtaisetPerustelut/30/01/66/66.html" TargetMode="External"/><Relationship Id="rId442" Type="http://schemas.openxmlformats.org/officeDocument/2006/relationships/hyperlink" Target="http://budjetti.vm.fi/indox/sisalto.jsp?year=2016&amp;lang=fi&amp;maindoc=/2016/aky/aky.xml&amp;id=/2016/aky/YksityiskohtaisetPerustelut/30/20/44/44.html" TargetMode="External"/><Relationship Id="rId463" Type="http://schemas.openxmlformats.org/officeDocument/2006/relationships/hyperlink" Target="http://budjetti.vm.fi/indox/sisalto.jsp?year=2016&amp;lang=fi&amp;maindoc=/2016/aky/aky.xml&amp;id=/2016/aky/YksityiskohtaisetPerustelut/30/40/83/83.html" TargetMode="External"/><Relationship Id="rId484" Type="http://schemas.openxmlformats.org/officeDocument/2006/relationships/hyperlink" Target="http://budjetti.vm.fi/indox/sisalto.jsp?year=2016&amp;lang=fi&amp;maindoc=/2016/aky/aky.xml&amp;id=/2016/aky/YksityiskohtaisetPerustelut/31/10/78/78.html" TargetMode="External"/><Relationship Id="rId519" Type="http://schemas.openxmlformats.org/officeDocument/2006/relationships/hyperlink" Target="http://budjetti.vm.fi/indox/sisalto.jsp?year=2016&amp;lang=fi&amp;maindoc=/2016/aky/aky.xml&amp;id=/2016/aky/YksityiskohtaisetPerustelut/32/20/01/01.html" TargetMode="External"/><Relationship Id="rId670" Type="http://schemas.openxmlformats.org/officeDocument/2006/relationships/hyperlink" Target="http://budjetti.vm.fi/indox/sisalto.jsp?year=2016&amp;lang=fi&amp;maindoc=/2016/aky/aky.xml&amp;id=/2016/aky/YksityiskohtaisetPerustelut/35/20/01/01.html" TargetMode="External"/><Relationship Id="rId116" Type="http://schemas.openxmlformats.org/officeDocument/2006/relationships/hyperlink" Target="http://budjetti.vm.fi/indox/sisalto.jsp?year=2016&amp;lang=fi&amp;maindoc=/2016/aky/aky.xml&amp;id=/2016/aky/YksityiskohtaisetPerustelut/15/01/04/04.html" TargetMode="External"/><Relationship Id="rId137" Type="http://schemas.openxmlformats.org/officeDocument/2006/relationships/hyperlink" Target="http://budjetti.vm.fi/indox/sisalto.jsp?year=2016&amp;lang=fi&amp;maindoc=/2016/aky/aky.xml&amp;id=/2016/aky/YksityiskohtaisetPerustelut/21/90/90.html" TargetMode="External"/><Relationship Id="rId158" Type="http://schemas.openxmlformats.org/officeDocument/2006/relationships/hyperlink" Target="http://budjetti.vm.fi/indox/sisalto.jsp?year=2016&amp;lang=fi&amp;maindoc=/2016/aky/aky.xml&amp;id=/2016/aky/YksityiskohtaisetPerustelut/23/10/88/88.html" TargetMode="External"/><Relationship Id="rId302" Type="http://schemas.openxmlformats.org/officeDocument/2006/relationships/hyperlink" Target="http://budjetti.vm.fi/indox/sisalto.jsp?year=2016&amp;lang=fi&amp;maindoc=/2016/aky/aky.xml&amp;id=/2016/aky/YksityiskohtaisetPerustelut/28/70/22/22.html" TargetMode="External"/><Relationship Id="rId323" Type="http://schemas.openxmlformats.org/officeDocument/2006/relationships/hyperlink" Target="http://budjetti.vm.fi/indox/sisalto.jsp?year=2016&amp;lang=fi&amp;maindoc=/2016/aky/aky.xml&amp;id=/2016/aky/YksityiskohtaisetPerustelut/28/99/99.html" TargetMode="External"/><Relationship Id="rId344" Type="http://schemas.openxmlformats.org/officeDocument/2006/relationships/hyperlink" Target="http://budjetti.vm.fi/indox/sisalto.jsp?year=2016&amp;lang=fi&amp;maindoc=/2016/aky/aky.xml&amp;id=/2016/aky/YksityiskohtaisetPerustelut/29/10/02/02.html" TargetMode="External"/><Relationship Id="rId530" Type="http://schemas.openxmlformats.org/officeDocument/2006/relationships/hyperlink" Target="http://budjetti.vm.fi/indox/sisalto.jsp?year=2016&amp;lang=fi&amp;maindoc=/2016/aky/aky.xml&amp;id=/2016/aky/YksityiskohtaisetPerustelut/32/20/80/80.html" TargetMode="External"/><Relationship Id="rId20" Type="http://schemas.openxmlformats.org/officeDocument/2006/relationships/hyperlink" Target="http://budjetti.vm.fi/indox/sisalto.jsp?year=2016&amp;lang=fi&amp;maindoc=/2016/aky/aky.xml&amp;id=/2016/aky/YksityiskohtaisetPerustelut/11/10/06/06.html" TargetMode="External"/><Relationship Id="rId41" Type="http://schemas.openxmlformats.org/officeDocument/2006/relationships/hyperlink" Target="http://budjetti.vm.fi/indox/sisalto.jsp?year=2016&amp;lang=fi&amp;maindoc=/2016/aky/aky.xml&amp;id=/2016/aky/YksityiskohtaisetPerustelut/12/26/98/98.html" TargetMode="External"/><Relationship Id="rId62" Type="http://schemas.openxmlformats.org/officeDocument/2006/relationships/hyperlink" Target="http://budjetti.vm.fi/indox/sisalto.jsp?year=2016&amp;lang=fi&amp;maindoc=/2016/aky/aky.xml&amp;id=/2016/aky/YksityiskohtaisetPerustelut/12/29/70/70.html" TargetMode="External"/><Relationship Id="rId83" Type="http://schemas.openxmlformats.org/officeDocument/2006/relationships/hyperlink" Target="http://budjetti.vm.fi/indox/sisalto.jsp?year=2016&amp;lang=fi&amp;maindoc=/2016/aky/aky.xml&amp;id=/2016/aky/YksityiskohtaisetPerustelut/12/32/31/31.html" TargetMode="External"/><Relationship Id="rId179" Type="http://schemas.openxmlformats.org/officeDocument/2006/relationships/hyperlink" Target="http://budjetti.vm.fi/indox/sisalto.jsp?year=2016&amp;lang=fi&amp;maindoc=/2016/aky/aky.xml&amp;id=/2016/aky/YksityiskohtaisetPerustelut/24/30/89/89.html" TargetMode="External"/><Relationship Id="rId365" Type="http://schemas.openxmlformats.org/officeDocument/2006/relationships/hyperlink" Target="http://budjetti.vm.fi/indox/sisalto.jsp?year=2016&amp;lang=fi&amp;maindoc=/2016/aky/aky.xml&amp;id=/2016/aky/YksityiskohtaisetPerustelut/29/40/04/04.html" TargetMode="External"/><Relationship Id="rId386" Type="http://schemas.openxmlformats.org/officeDocument/2006/relationships/hyperlink" Target="http://budjetti.vm.fi/indox/sisalto.jsp?year=2016&amp;lang=fi&amp;maindoc=/2016/aky/aky.xml&amp;id=/2016/aky/YksityiskohtaisetPerustelut/29/80/06/06.html" TargetMode="External"/><Relationship Id="rId551" Type="http://schemas.openxmlformats.org/officeDocument/2006/relationships/hyperlink" Target="http://budjetti.vm.fi/indox/sisalto.jsp?year=2016&amp;lang=fi&amp;maindoc=/2016/aky/aky.xml&amp;id=/2016/aky/YksityiskohtaisetPerustelut/32/50/50.html" TargetMode="External"/><Relationship Id="rId572" Type="http://schemas.openxmlformats.org/officeDocument/2006/relationships/hyperlink" Target="http://budjetti.vm.fi/indox/sisalto.jsp?year=2016&amp;lang=fi&amp;maindoc=/2016/aky/aky.xml&amp;id=/2016/aky/YksityiskohtaisetPerustelut/33/01/05/05.html" TargetMode="External"/><Relationship Id="rId593" Type="http://schemas.openxmlformats.org/officeDocument/2006/relationships/hyperlink" Target="http://budjetti.vm.fi/indox/sisalto.jsp?year=2016&amp;lang=fi&amp;maindoc=/2016/aky/aky.xml&amp;id=/2016/aky/YksityiskohtaisetPerustelut/33/10/53/53.html" TargetMode="External"/><Relationship Id="rId607" Type="http://schemas.openxmlformats.org/officeDocument/2006/relationships/hyperlink" Target="http://budjetti.vm.fi/indox/sisalto.jsp?year=2016&amp;lang=fi&amp;maindoc=/2016/aky/aky.xml&amp;id=/2016/aky/YksityiskohtaisetPerustelut/33/40/40.html" TargetMode="External"/><Relationship Id="rId628" Type="http://schemas.openxmlformats.org/officeDocument/2006/relationships/hyperlink" Target="http://budjetti.vm.fi/indox/sisalto.jsp?year=2016&amp;lang=fi&amp;maindoc=/2016/aky/aky.xml&amp;id=/2016/aky/YksityiskohtaisetPerustelut/33/60/33/33.html" TargetMode="External"/><Relationship Id="rId649" Type="http://schemas.openxmlformats.org/officeDocument/2006/relationships/hyperlink" Target="http://budjetti.vm.fi/indox/sisalto.jsp?year=2016&amp;lang=fi&amp;maindoc=/2016/aky/aky.xml&amp;id=/2016/aky/YksityiskohtaisetPerustelut/33/90/90.html" TargetMode="External"/><Relationship Id="rId190" Type="http://schemas.openxmlformats.org/officeDocument/2006/relationships/hyperlink" Target="http://budjetti.vm.fi/indox/sisalto.jsp?year=2016&amp;lang=fi&amp;maindoc=/2016/aky/aky.xml&amp;id=/2016/aky/YksityiskohtaisetPerustelut/25/01/03/03.html" TargetMode="External"/><Relationship Id="rId204" Type="http://schemas.openxmlformats.org/officeDocument/2006/relationships/hyperlink" Target="http://budjetti.vm.fi/indox/sisalto.jsp?year=2016&amp;lang=fi&amp;maindoc=/2016/aky/aky.xml&amp;id=/2016/aky/YksityiskohtaisetPerustelut/25/20/20.html" TargetMode="External"/><Relationship Id="rId225" Type="http://schemas.openxmlformats.org/officeDocument/2006/relationships/hyperlink" Target="http://budjetti.vm.fi/indox/sisalto.jsp?year=2016&amp;lang=fi&amp;maindoc=/2016/aky/aky.xml&amp;id=/2016/aky/YksityiskohtaisetPerustelut/26/10/02/02.html" TargetMode="External"/><Relationship Id="rId246" Type="http://schemas.openxmlformats.org/officeDocument/2006/relationships/hyperlink" Target="http://budjetti.vm.fi/indox/sisalto.jsp?year=2016&amp;lang=fi&amp;maindoc=/2016/aky/aky.xml&amp;id=/2016/aky/YksityiskohtaisetPerustelut/27/10/10.html" TargetMode="External"/><Relationship Id="rId267" Type="http://schemas.openxmlformats.org/officeDocument/2006/relationships/hyperlink" Target="http://budjetti.vm.fi/indox/sisalto.jsp?year=2016&amp;lang=fi&amp;maindoc=/2016/aky/aky.xml&amp;id=/2016/aky/YksityiskohtaisetPerustelut/28/20/01/01.html" TargetMode="External"/><Relationship Id="rId288" Type="http://schemas.openxmlformats.org/officeDocument/2006/relationships/hyperlink" Target="http://budjetti.vm.fi/indox/sisalto.jsp?year=2016&amp;lang=fi&amp;maindoc=/2016/aky/aky.xml&amp;id=/2016/aky/YksityiskohtaisetPerustelut/28/50/50/50.html" TargetMode="External"/><Relationship Id="rId411" Type="http://schemas.openxmlformats.org/officeDocument/2006/relationships/hyperlink" Target="http://budjetti.vm.fi/indox/sisalto.jsp?year=2016&amp;lang=fi&amp;maindoc=/2016/aky/aky.xml&amp;id=/2016/aky/YksityiskohtaisetPerustelut/29/91/50/50.html" TargetMode="External"/><Relationship Id="rId432" Type="http://schemas.openxmlformats.org/officeDocument/2006/relationships/hyperlink" Target="http://budjetti.vm.fi/indox/sisalto.jsp?year=2016&amp;lang=fi&amp;maindoc=/2016/aky/aky.xml&amp;id=/2016/aky/YksityiskohtaisetPerustelut/30/10/63/63.html" TargetMode="External"/><Relationship Id="rId453" Type="http://schemas.openxmlformats.org/officeDocument/2006/relationships/hyperlink" Target="http://budjetti.vm.fi/indox/sisalto.jsp?year=2016&amp;lang=fi&amp;maindoc=/2016/aky/aky.xml&amp;id=/2016/aky/YksityiskohtaisetPerustelut/30/40/40/40.html" TargetMode="External"/><Relationship Id="rId474" Type="http://schemas.openxmlformats.org/officeDocument/2006/relationships/hyperlink" Target="http://budjetti.vm.fi/indox/sisalto.jsp?year=2016&amp;lang=fi&amp;maindoc=/2016/aky/aky.xml&amp;id=/2016/aky/YksityiskohtaisetPerustelut/31/01/21/21.html" TargetMode="External"/><Relationship Id="rId509" Type="http://schemas.openxmlformats.org/officeDocument/2006/relationships/hyperlink" Target="http://budjetti.vm.fi/indox/sisalto.jsp?year=2016&amp;lang=fi&amp;maindoc=/2016/aky/aky.xml&amp;id=/2016/aky/YksityiskohtaisetPerustelut/32/01/22/22.html" TargetMode="External"/><Relationship Id="rId660" Type="http://schemas.openxmlformats.org/officeDocument/2006/relationships/hyperlink" Target="http://budjetti.vm.fi/indox/sisalto.jsp?year=2016&amp;lang=fi&amp;maindoc=/2016/aky/aky.xml&amp;id=/2016/aky/YksityiskohtaisetPerustelut/35/10/22/22.html" TargetMode="External"/><Relationship Id="rId106" Type="http://schemas.openxmlformats.org/officeDocument/2006/relationships/hyperlink" Target="http://budjetti.vm.fi/indox/sisalto.jsp?year=2016&amp;lang=fi&amp;maindoc=/2016/aky/aky.xml&amp;id=/2016/aky/YksityiskohtaisetPerustelut/13/01/09/09.html" TargetMode="External"/><Relationship Id="rId127" Type="http://schemas.openxmlformats.org/officeDocument/2006/relationships/hyperlink" Target="http://budjetti.vm.fi/indox/sisalto.jsp?year=2016&amp;lang=fi&amp;maindoc=/2016/aky/aky.xml&amp;id=/2016/aky/YksityiskohtaisetPerustelut/21/10/70/70.html" TargetMode="External"/><Relationship Id="rId313" Type="http://schemas.openxmlformats.org/officeDocument/2006/relationships/hyperlink" Target="http://budjetti.vm.fi/indox/sisalto.jsp?year=2016&amp;lang=fi&amp;maindoc=/2016/aky/aky.xml&amp;id=/2016/aky/YksityiskohtaisetPerustelut/28/91/91.html" TargetMode="External"/><Relationship Id="rId495" Type="http://schemas.openxmlformats.org/officeDocument/2006/relationships/hyperlink" Target="http://budjetti.vm.fi/indox/sisalto.jsp?year=2016&amp;lang=fi&amp;maindoc=/2016/aky/aky.xml&amp;id=/2016/aky/YksityiskohtaisetPerustelut/31/40/40.html" TargetMode="External"/><Relationship Id="rId681" Type="http://schemas.openxmlformats.org/officeDocument/2006/relationships/hyperlink" Target="http://www.tilastokeskus.fi/til/pra/2015/pra_2015_2016-09-29_tie_001_fi.html" TargetMode="External"/><Relationship Id="rId10" Type="http://schemas.openxmlformats.org/officeDocument/2006/relationships/hyperlink" Target="http://budjetti.vm.fi/indox/sisalto.jsp?year=2016&amp;lang=fi&amp;maindoc=/2016/aky/aky.xml&amp;id=/2016/aky/YksityiskohtaisetPerustelut/11/04/03/03.html" TargetMode="External"/><Relationship Id="rId31" Type="http://schemas.openxmlformats.org/officeDocument/2006/relationships/hyperlink" Target="http://budjetti.vm.fi/indox/sisalto.jsp?year=2016&amp;lang=fi&amp;maindoc=/2016/aky/aky.xml&amp;id=/2016/aky/YksityiskohtaisetPerustelut/11/19/11/11.html" TargetMode="External"/><Relationship Id="rId52" Type="http://schemas.openxmlformats.org/officeDocument/2006/relationships/hyperlink" Target="http://budjetti.vm.fi/indox/sisalto.jsp?year=2016&amp;lang=fi&amp;maindoc=/2016/aky/aky.xml&amp;id=/2016/aky/YksityiskohtaisetPerustelut/12/28/20/20.html" TargetMode="External"/><Relationship Id="rId73" Type="http://schemas.openxmlformats.org/officeDocument/2006/relationships/hyperlink" Target="http://budjetti.vm.fi/indox/sisalto.jsp?year=2016&amp;lang=fi&amp;maindoc=/2016/aky/aky.xml&amp;id=/2016/aky/YksityiskohtaisetPerustelut/12/30/42/42.html" TargetMode="External"/><Relationship Id="rId94" Type="http://schemas.openxmlformats.org/officeDocument/2006/relationships/hyperlink" Target="http://budjetti.vm.fi/indox/sisalto.jsp?year=2016&amp;lang=fi&amp;maindoc=/2016/aky/aky.xml&amp;id=/2016/aky/YksityiskohtaisetPerustelut/12/35/20/20.html" TargetMode="External"/><Relationship Id="rId148" Type="http://schemas.openxmlformats.org/officeDocument/2006/relationships/hyperlink" Target="http://budjetti.vm.fi/indox/sisalto.jsp?year=2016&amp;lang=fi&amp;maindoc=/2016/aky/aky.xml&amp;id=/2016/aky/YksityiskohtaisetPerustelut/23/23.html" TargetMode="External"/><Relationship Id="rId169" Type="http://schemas.openxmlformats.org/officeDocument/2006/relationships/hyperlink" Target="http://budjetti.vm.fi/indox/sisalto.jsp?year=2016&amp;lang=fi&amp;maindoc=/2016/aky/aky.xml&amp;id=/2016/aky/YksityiskohtaisetPerustelut/24/01/21/21.html" TargetMode="External"/><Relationship Id="rId334" Type="http://schemas.openxmlformats.org/officeDocument/2006/relationships/hyperlink" Target="http://budjetti.vm.fi/indox/sisalto.jsp?year=2016&amp;lang=fi&amp;maindoc=/2016/aky/aky.xml&amp;id=/2016/aky/YksityiskohtaisetPerustelut/29/01/21/21.html" TargetMode="External"/><Relationship Id="rId355" Type="http://schemas.openxmlformats.org/officeDocument/2006/relationships/hyperlink" Target="http://budjetti.vm.fi/indox/sisalto.jsp?year=2016&amp;lang=fi&amp;maindoc=/2016/aky/aky.xml&amp;id=/2016/aky/YksityiskohtaisetPerustelut/29/30/30/30.html" TargetMode="External"/><Relationship Id="rId376" Type="http://schemas.openxmlformats.org/officeDocument/2006/relationships/hyperlink" Target="http://budjetti.vm.fi/indox/sisalto.jsp?year=2016&amp;lang=fi&amp;maindoc=/2016/aky/aky.xml&amp;id=/2016/aky/YksityiskohtaisetPerustelut/29/70/01/01.html" TargetMode="External"/><Relationship Id="rId397" Type="http://schemas.openxmlformats.org/officeDocument/2006/relationships/hyperlink" Target="http://budjetti.vm.fi/indox/sisalto.jsp?year=2016&amp;lang=fi&amp;maindoc=/2016/aky/aky.xml&amp;id=/2016/aky/YksityiskohtaisetPerustelut/29/80/52/52.html" TargetMode="External"/><Relationship Id="rId520" Type="http://schemas.openxmlformats.org/officeDocument/2006/relationships/hyperlink" Target="http://budjetti.vm.fi/indox/sisalto.jsp?year=2016&amp;lang=fi&amp;maindoc=/2016/aky/aky.xml&amp;id=/2016/aky/YksityiskohtaisetPerustelut/32/20/06/06.html" TargetMode="External"/><Relationship Id="rId541" Type="http://schemas.openxmlformats.org/officeDocument/2006/relationships/hyperlink" Target="http://budjetti.vm.fi/indox/sisalto.jsp?year=2016&amp;lang=fi&amp;maindoc=/2016/aky/aky.xml&amp;id=/2016/aky/YksityiskohtaisetPerustelut/32/30/64/64.html" TargetMode="External"/><Relationship Id="rId562" Type="http://schemas.openxmlformats.org/officeDocument/2006/relationships/hyperlink" Target="http://budjetti.vm.fi/indox/sisalto.jsp?year=2016&amp;lang=fi&amp;maindoc=/2016/aky/aky.xml&amp;id=/2016/aky/YksityiskohtaisetPerustelut/32/60/87/87.html" TargetMode="External"/><Relationship Id="rId583" Type="http://schemas.openxmlformats.org/officeDocument/2006/relationships/hyperlink" Target="http://budjetti.vm.fi/indox/sisalto.jsp?year=2016&amp;lang=fi&amp;maindoc=/2016/aky/aky.xml&amp;id=/2016/aky/YksityiskohtaisetPerustelut/33/02/87/87.html" TargetMode="External"/><Relationship Id="rId618" Type="http://schemas.openxmlformats.org/officeDocument/2006/relationships/hyperlink" Target="http://budjetti.vm.fi/indox/sisalto.jsp?year=2016&amp;lang=fi&amp;maindoc=/2016/aky/aky.xml&amp;id=/2016/aky/YksityiskohtaisetPerustelut/33/50/52/52.html" TargetMode="External"/><Relationship Id="rId639" Type="http://schemas.openxmlformats.org/officeDocument/2006/relationships/hyperlink" Target="http://budjetti.vm.fi/indox/sisalto.jsp?year=2016&amp;lang=fi&amp;maindoc=/2016/aky/aky.xml&amp;id=/2016/aky/YksityiskohtaisetPerustelut/33/70/21/21.html" TargetMode="External"/><Relationship Id="rId4" Type="http://schemas.openxmlformats.org/officeDocument/2006/relationships/hyperlink" Target="http://budjetti.vm.fi/indox/sisalto.jsp?year=2016&amp;lang=fi&amp;maindoc=/2016/aky/aky.xml&amp;id=/2016/aky/YksityiskohtaisetPerustelut/11/01/02/02.html" TargetMode="External"/><Relationship Id="rId180" Type="http://schemas.openxmlformats.org/officeDocument/2006/relationships/hyperlink" Target="http://budjetti.vm.fi/indox/sisalto.jsp?year=2016&amp;lang=fi&amp;maindoc=/2016/aky/aky.xml&amp;id=/2016/aky/YksityiskohtaisetPerustelut/24/90/90.html" TargetMode="External"/><Relationship Id="rId215" Type="http://schemas.openxmlformats.org/officeDocument/2006/relationships/hyperlink" Target="http://budjetti.vm.fi/indox/sisalto.jsp?year=2016&amp;lang=fi&amp;maindoc=/2016/aky/aky.xml&amp;id=/2016/aky/YksityiskohtaisetPerustelut/26/01/01/01.html" TargetMode="External"/><Relationship Id="rId236" Type="http://schemas.openxmlformats.org/officeDocument/2006/relationships/hyperlink" Target="http://budjetti.vm.fi/indox/sisalto.jsp?year=2016&amp;lang=fi&amp;maindoc=/2016/aky/aky.xml&amp;id=/2016/aky/YksityiskohtaisetPerustelut/26/40/40.html" TargetMode="External"/><Relationship Id="rId257" Type="http://schemas.openxmlformats.org/officeDocument/2006/relationships/hyperlink" Target="http://budjetti.vm.fi/indox/sisalto.jsp?year=2016&amp;lang=fi&amp;maindoc=/2016/aky/aky.xml&amp;id=/2016/aky/YksityiskohtaisetPerustelut/28/01/20/20.html" TargetMode="External"/><Relationship Id="rId278" Type="http://schemas.openxmlformats.org/officeDocument/2006/relationships/hyperlink" Target="http://budjetti.vm.fi/indox/sisalto.jsp?year=2016&amp;lang=fi&amp;maindoc=/2016/aky/aky.xml&amp;id=/2016/aky/YksityiskohtaisetPerustelut/28/30/02/02.html" TargetMode="External"/><Relationship Id="rId401" Type="http://schemas.openxmlformats.org/officeDocument/2006/relationships/hyperlink" Target="http://budjetti.vm.fi/indox/sisalto.jsp?year=2016&amp;lang=fi&amp;maindoc=/2016/aky/aky.xml&amp;id=/2016/aky/YksityiskohtaisetPerustelut/29/80/56/56.html" TargetMode="External"/><Relationship Id="rId422" Type="http://schemas.openxmlformats.org/officeDocument/2006/relationships/hyperlink" Target="http://budjetti.vm.fi/indox/sisalto.jsp?year=2016&amp;lang=fi&amp;maindoc=/2016/aky/aky.xml&amp;id=/2016/aky/YksityiskohtaisetPerustelut/30/10/10.html" TargetMode="External"/><Relationship Id="rId443" Type="http://schemas.openxmlformats.org/officeDocument/2006/relationships/hyperlink" Target="http://budjetti.vm.fi/indox/sisalto.jsp?year=2016&amp;lang=fi&amp;maindoc=/2016/aky/aky.xml&amp;id=/2016/aky/YksityiskohtaisetPerustelut/30/20/46/46.html" TargetMode="External"/><Relationship Id="rId464" Type="http://schemas.openxmlformats.org/officeDocument/2006/relationships/hyperlink" Target="http://budjetti.vm.fi/indox/sisalto.jsp?year=2016&amp;lang=fi&amp;maindoc=/2016/aky/aky.xml&amp;id=/2016/aky/YksityiskohtaisetPerustelut/30/63/63.html" TargetMode="External"/><Relationship Id="rId650" Type="http://schemas.openxmlformats.org/officeDocument/2006/relationships/hyperlink" Target="http://budjetti.vm.fi/indox/sisalto.jsp?year=2016&amp;lang=fi&amp;maindoc=/2016/aky/aky.xml&amp;id=/2016/aky/YksityiskohtaisetPerustelut/33/90/50/50.html" TargetMode="External"/><Relationship Id="rId303" Type="http://schemas.openxmlformats.org/officeDocument/2006/relationships/hyperlink" Target="http://budjetti.vm.fi/indox/sisalto.jsp?year=2016&amp;lang=fi&amp;maindoc=/2016/aky/aky.xml&amp;id=/2016/aky/YksityiskohtaisetPerustelut/28/80/80.html" TargetMode="External"/><Relationship Id="rId485" Type="http://schemas.openxmlformats.org/officeDocument/2006/relationships/hyperlink" Target="http://budjetti.vm.fi/indox/sisalto.jsp?year=2016&amp;lang=fi&amp;maindoc=/2016/aky/aky.xml&amp;id=/2016/aky/YksityiskohtaisetPerustelut/31/10/79/79.html" TargetMode="External"/><Relationship Id="rId42" Type="http://schemas.openxmlformats.org/officeDocument/2006/relationships/hyperlink" Target="http://budjetti.vm.fi/indox/sisalto.jsp?year=2016&amp;lang=fi&amp;maindoc=/2016/aky/aky.xml&amp;id=/2016/aky/YksityiskohtaisetPerustelut/12/26/99/99.html" TargetMode="External"/><Relationship Id="rId84" Type="http://schemas.openxmlformats.org/officeDocument/2006/relationships/hyperlink" Target="http://budjetti.vm.fi/indox/sisalto.jsp?year=2016&amp;lang=fi&amp;maindoc=/2016/aky/aky.xml&amp;id=/2016/aky/YksityiskohtaisetPerustelut/12/32/50/50.html" TargetMode="External"/><Relationship Id="rId138" Type="http://schemas.openxmlformats.org/officeDocument/2006/relationships/hyperlink" Target="http://budjetti.vm.fi/indox/sisalto.jsp?year=2016&amp;lang=fi&amp;maindoc=/2016/aky/aky.xml&amp;id=/2016/aky/YksityiskohtaisetPerustelut/21/90/50/50.html" TargetMode="External"/><Relationship Id="rId345" Type="http://schemas.openxmlformats.org/officeDocument/2006/relationships/hyperlink" Target="http://budjetti.vm.fi/indox/sisalto.jsp?year=2016&amp;lang=fi&amp;maindoc=/2016/aky/aky.xml&amp;id=/2016/aky/YksityiskohtaisetPerustelut/29/10/20/20.html" TargetMode="External"/><Relationship Id="rId387" Type="http://schemas.openxmlformats.org/officeDocument/2006/relationships/hyperlink" Target="http://budjetti.vm.fi/indox/sisalto.jsp?year=2016&amp;lang=fi&amp;maindoc=/2016/aky/aky.xml&amp;id=/2016/aky/YksityiskohtaisetPerustelut/29/80/16/16.html" TargetMode="External"/><Relationship Id="rId510" Type="http://schemas.openxmlformats.org/officeDocument/2006/relationships/hyperlink" Target="http://budjetti.vm.fi/indox/sisalto.jsp?year=2016&amp;lang=fi&amp;maindoc=/2016/aky/aky.xml&amp;id=/2016/aky/YksityiskohtaisetPerustelut/32/01/29/29.html" TargetMode="External"/><Relationship Id="rId552" Type="http://schemas.openxmlformats.org/officeDocument/2006/relationships/hyperlink" Target="http://budjetti.vm.fi/indox/sisalto.jsp?year=2016&amp;lang=fi&amp;maindoc=/2016/aky/aky.xml&amp;id=/2016/aky/YksityiskohtaisetPerustelut/32/50/40/40.html" TargetMode="External"/><Relationship Id="rId594" Type="http://schemas.openxmlformats.org/officeDocument/2006/relationships/hyperlink" Target="http://budjetti.vm.fi/indox/sisalto.jsp?year=2016&amp;lang=fi&amp;maindoc=/2016/aky/aky.xml&amp;id=/2016/aky/YksityiskohtaisetPerustelut/33/10/54/54.html" TargetMode="External"/><Relationship Id="rId608" Type="http://schemas.openxmlformats.org/officeDocument/2006/relationships/hyperlink" Target="http://budjetti.vm.fi/indox/sisalto.jsp?year=2016&amp;lang=fi&amp;maindoc=/2016/aky/aky.xml&amp;id=/2016/aky/YksityiskohtaisetPerustelut/33/40/50/50.html" TargetMode="External"/><Relationship Id="rId191" Type="http://schemas.openxmlformats.org/officeDocument/2006/relationships/hyperlink" Target="http://budjetti.vm.fi/indox/sisalto.jsp?year=2016&amp;lang=fi&amp;maindoc=/2016/aky/aky.xml&amp;id=/2016/aky/YksityiskohtaisetPerustelut/25/01/05/05.html" TargetMode="External"/><Relationship Id="rId205" Type="http://schemas.openxmlformats.org/officeDocument/2006/relationships/hyperlink" Target="http://budjetti.vm.fi/indox/sisalto.jsp?year=2016&amp;lang=fi&amp;maindoc=/2016/aky/aky.xml&amp;id=/2016/aky/YksityiskohtaisetPerustelut/25/20/01/01.html" TargetMode="External"/><Relationship Id="rId247" Type="http://schemas.openxmlformats.org/officeDocument/2006/relationships/hyperlink" Target="http://budjetti.vm.fi/indox/sisalto.jsp?year=2016&amp;lang=fi&amp;maindoc=/2016/aky/aky.xml&amp;id=/2016/aky/YksityiskohtaisetPerustelut/27/10/01/01.html" TargetMode="External"/><Relationship Id="rId412" Type="http://schemas.openxmlformats.org/officeDocument/2006/relationships/hyperlink" Target="http://budjetti.vm.fi/indox/sisalto.jsp?year=2016&amp;lang=fi&amp;maindoc=/2016/aky/aky.xml&amp;id=/2016/aky/YksityiskohtaisetPerustelut/29/91/51/51.html" TargetMode="External"/><Relationship Id="rId107" Type="http://schemas.openxmlformats.org/officeDocument/2006/relationships/hyperlink" Target="http://budjetti.vm.fi/indox/sisalto.jsp?year=2016&amp;lang=fi&amp;maindoc=/2016/aky/aky.xml&amp;id=/2016/aky/YksityiskohtaisetPerustelut/13/03/03.html" TargetMode="External"/><Relationship Id="rId289" Type="http://schemas.openxmlformats.org/officeDocument/2006/relationships/hyperlink" Target="http://budjetti.vm.fi/indox/sisalto.jsp?year=2016&amp;lang=fi&amp;maindoc=/2016/aky/aky.xml&amp;id=/2016/aky/YksityiskohtaisetPerustelut/28/50/63/63.html" TargetMode="External"/><Relationship Id="rId454" Type="http://schemas.openxmlformats.org/officeDocument/2006/relationships/hyperlink" Target="http://budjetti.vm.fi/indox/sisalto.jsp?year=2016&amp;lang=fi&amp;maindoc=/2016/aky/aky.xml&amp;id=/2016/aky/YksityiskohtaisetPerustelut/30/40/41/41.html" TargetMode="External"/><Relationship Id="rId496" Type="http://schemas.openxmlformats.org/officeDocument/2006/relationships/hyperlink" Target="http://budjetti.vm.fi/indox/sisalto.jsp?year=2016&amp;lang=fi&amp;maindoc=/2016/aky/aky.xml&amp;id=/2016/aky/YksityiskohtaisetPerustelut/31/40/01/01.html" TargetMode="External"/><Relationship Id="rId661" Type="http://schemas.openxmlformats.org/officeDocument/2006/relationships/hyperlink" Target="http://budjetti.vm.fi/indox/sisalto.jsp?year=2016&amp;lang=fi&amp;maindoc=/2016/aky/aky.xml&amp;id=/2016/aky/YksityiskohtaisetPerustelut/35/10/52/52.html" TargetMode="External"/><Relationship Id="rId11" Type="http://schemas.openxmlformats.org/officeDocument/2006/relationships/hyperlink" Target="http://budjetti.vm.fi/indox/sisalto.jsp?year=2016&amp;lang=fi&amp;maindoc=/2016/aky/aky.xml&amp;id=/2016/aky/YksityiskohtaisetPerustelut/11/08/08.html" TargetMode="External"/><Relationship Id="rId53" Type="http://schemas.openxmlformats.org/officeDocument/2006/relationships/hyperlink" Target="http://budjetti.vm.fi/indox/sisalto.jsp?year=2016&amp;lang=fi&amp;maindoc=/2016/aky/aky.xml&amp;id=/2016/aky/YksityiskohtaisetPerustelut/12/28/25/25.html" TargetMode="External"/><Relationship Id="rId149" Type="http://schemas.openxmlformats.org/officeDocument/2006/relationships/hyperlink" Target="http://budjetti.vm.fi/indox/sisalto.jsp?year=2016&amp;lang=fi&amp;maindoc=/2016/aky/aky.xml&amp;id=/2016/aky/YksityiskohtaisetPerustelut/23/01/01.html" TargetMode="External"/><Relationship Id="rId314" Type="http://schemas.openxmlformats.org/officeDocument/2006/relationships/hyperlink" Target="http://budjetti.vm.fi/indox/sisalto.jsp?year=2016&amp;lang=fi&amp;maindoc=/2016/aky/aky.xml&amp;id=/2016/aky/YksityiskohtaisetPerustelut/28/91/41/41.html" TargetMode="External"/><Relationship Id="rId356" Type="http://schemas.openxmlformats.org/officeDocument/2006/relationships/hyperlink" Target="http://budjetti.vm.fi/indox/sisalto.jsp?year=2016&amp;lang=fi&amp;maindoc=/2016/aky/aky.xml&amp;id=/2016/aky/YksityiskohtaisetPerustelut/29/30/31/31.html" TargetMode="External"/><Relationship Id="rId398" Type="http://schemas.openxmlformats.org/officeDocument/2006/relationships/hyperlink" Target="http://budjetti.vm.fi/indox/sisalto.jsp?year=2016&amp;lang=fi&amp;maindoc=/2016/aky/aky.xml&amp;id=/2016/aky/YksityiskohtaisetPerustelut/29/80/53/53.html" TargetMode="External"/><Relationship Id="rId521" Type="http://schemas.openxmlformats.org/officeDocument/2006/relationships/hyperlink" Target="http://budjetti.vm.fi/indox/sisalto.jsp?year=2016&amp;lang=fi&amp;maindoc=/2016/aky/aky.xml&amp;id=/2016/aky/YksityiskohtaisetPerustelut/32/20/28/28.html" TargetMode="External"/><Relationship Id="rId563" Type="http://schemas.openxmlformats.org/officeDocument/2006/relationships/hyperlink" Target="http://budjetti.vm.fi/indox/sisalto.jsp?year=2016&amp;lang=fi&amp;maindoc=/2016/aky/aky.xml&amp;id=/2016/aky/YksityiskohtaisetPerustelut/32/70/70.html" TargetMode="External"/><Relationship Id="rId619" Type="http://schemas.openxmlformats.org/officeDocument/2006/relationships/hyperlink" Target="http://budjetti.vm.fi/indox/sisalto.jsp?year=2016&amp;lang=fi&amp;maindoc=/2016/aky/aky.xml&amp;id=/2016/aky/YksityiskohtaisetPerustelut/33/50/53/53.html" TargetMode="External"/><Relationship Id="rId95" Type="http://schemas.openxmlformats.org/officeDocument/2006/relationships/hyperlink" Target="http://budjetti.vm.fi/indox/sisalto.jsp?year=2016&amp;lang=fi&amp;maindoc=/2016/aky/aky.xml&amp;id=/2016/aky/YksityiskohtaisetPerustelut/12/35/99/99.html" TargetMode="External"/><Relationship Id="rId160" Type="http://schemas.openxmlformats.org/officeDocument/2006/relationships/hyperlink" Target="http://budjetti.vm.fi/indox/sisalto.jsp?year=2016&amp;lang=fi&amp;maindoc=/2016/aky/aky.xml&amp;id=/2016/aky/YksityiskohtaisetPerustelut/23/20/50/50.html" TargetMode="External"/><Relationship Id="rId216" Type="http://schemas.openxmlformats.org/officeDocument/2006/relationships/hyperlink" Target="http://budjetti.vm.fi/indox/sisalto.jsp?year=2016&amp;lang=fi&amp;maindoc=/2016/aky/aky.xml&amp;id=/2016/aky/YksityiskohtaisetPerustelut/26/01/03/03.html" TargetMode="External"/><Relationship Id="rId423" Type="http://schemas.openxmlformats.org/officeDocument/2006/relationships/hyperlink" Target="http://budjetti.vm.fi/indox/sisalto.jsp?year=2016&amp;lang=fi&amp;maindoc=/2016/aky/aky.xml&amp;id=/2016/aky/YksityiskohtaisetPerustelut/30/10/40/40.html" TargetMode="External"/><Relationship Id="rId258" Type="http://schemas.openxmlformats.org/officeDocument/2006/relationships/hyperlink" Target="http://budjetti.vm.fi/indox/sisalto.jsp?year=2016&amp;lang=fi&amp;maindoc=/2016/aky/aky.xml&amp;id=/2016/aky/YksityiskohtaisetPerustelut/28/01/21/21.html" TargetMode="External"/><Relationship Id="rId465" Type="http://schemas.openxmlformats.org/officeDocument/2006/relationships/hyperlink" Target="http://budjetti.vm.fi/indox/sisalto.jsp?year=2016&amp;lang=fi&amp;maindoc=/2016/aky/aky.xml&amp;id=/2016/aky/YksityiskohtaisetPerustelut/30/63/50/50.html" TargetMode="External"/><Relationship Id="rId630" Type="http://schemas.openxmlformats.org/officeDocument/2006/relationships/hyperlink" Target="http://budjetti.vm.fi/indox/sisalto.jsp?year=2016&amp;lang=fi&amp;maindoc=/2016/aky/aky.xml&amp;id=/2016/aky/YksityiskohtaisetPerustelut/33/60/35/35.html" TargetMode="External"/><Relationship Id="rId672" Type="http://schemas.openxmlformats.org/officeDocument/2006/relationships/hyperlink" Target="http://budjetti.vm.fi/indox/sisalto.jsp?year=2016&amp;lang=fi&amp;maindoc=/2016/aky/aky.xml&amp;id=/2016/aky/YksityiskohtaisetPerustelut/35/20/55/55.html" TargetMode="External"/><Relationship Id="rId22" Type="http://schemas.openxmlformats.org/officeDocument/2006/relationships/hyperlink" Target="http://budjetti.vm.fi/indox/sisalto.jsp?year=2016&amp;lang=fi&amp;maindoc=/2016/aky/aky.xml&amp;id=/2016/aky/YksityiskohtaisetPerustelut/11/10/08/08.html" TargetMode="External"/><Relationship Id="rId64" Type="http://schemas.openxmlformats.org/officeDocument/2006/relationships/hyperlink" Target="http://budjetti.vm.fi/indox/sisalto.jsp?year=2016&amp;lang=fi&amp;maindoc=/2016/aky/aky.xml&amp;id=/2016/aky/YksityiskohtaisetPerustelut/12/29/99/99.html" TargetMode="External"/><Relationship Id="rId118" Type="http://schemas.openxmlformats.org/officeDocument/2006/relationships/hyperlink" Target="http://budjetti.vm.fi/indox/sisalto.jsp?year=2016&amp;lang=fi&amp;maindoc=/2016/aky/aky.xml&amp;id=/2016/aky/YksityiskohtaisetPerustelut/15/03/01/01.html" TargetMode="External"/><Relationship Id="rId325" Type="http://schemas.openxmlformats.org/officeDocument/2006/relationships/hyperlink" Target="http://budjetti.vm.fi/indox/sisalto.jsp?year=2016&amp;lang=fi&amp;maindoc=/2016/aky/aky.xml&amp;id=/2016/aky/YksityiskohtaisetPerustelut/28/99/96/96.html" TargetMode="External"/><Relationship Id="rId367" Type="http://schemas.openxmlformats.org/officeDocument/2006/relationships/hyperlink" Target="http://budjetti.vm.fi/indox/sisalto.jsp?year=2016&amp;lang=fi&amp;maindoc=/2016/aky/aky.xml&amp;id=/2016/aky/YksityiskohtaisetPerustelut/29/40/22/22.html" TargetMode="External"/><Relationship Id="rId532" Type="http://schemas.openxmlformats.org/officeDocument/2006/relationships/hyperlink" Target="http://budjetti.vm.fi/indox/sisalto.jsp?year=2016&amp;lang=fi&amp;maindoc=/2016/aky/aky.xml&amp;id=/2016/aky/YksityiskohtaisetPerustelut/32/20/83/83.html" TargetMode="External"/><Relationship Id="rId574" Type="http://schemas.openxmlformats.org/officeDocument/2006/relationships/hyperlink" Target="http://budjetti.vm.fi/indox/sisalto.jsp?year=2016&amp;lang=fi&amp;maindoc=/2016/aky/aky.xml&amp;id=/2016/aky/YksityiskohtaisetPerustelut/33/01/25/25.html" TargetMode="External"/><Relationship Id="rId171" Type="http://schemas.openxmlformats.org/officeDocument/2006/relationships/hyperlink" Target="http://budjetti.vm.fi/indox/sisalto.jsp?year=2016&amp;lang=fi&amp;maindoc=/2016/aky/aky.xml&amp;id=/2016/aky/YksityiskohtaisetPerustelut/24/01/74/74.html" TargetMode="External"/><Relationship Id="rId227" Type="http://schemas.openxmlformats.org/officeDocument/2006/relationships/hyperlink" Target="http://budjetti.vm.fi/indox/sisalto.jsp?year=2016&amp;lang=fi&amp;maindoc=/2016/aky/aky.xml&amp;id=/2016/aky/YksityiskohtaisetPerustelut/26/10/21/21.html" TargetMode="External"/><Relationship Id="rId269" Type="http://schemas.openxmlformats.org/officeDocument/2006/relationships/hyperlink" Target="http://budjetti.vm.fi/indox/sisalto.jsp?year=2016&amp;lang=fi&amp;maindoc=/2016/aky/aky.xml&amp;id=/2016/aky/YksityiskohtaisetPerustelut/28/20/06/06.html" TargetMode="External"/><Relationship Id="rId434" Type="http://schemas.openxmlformats.org/officeDocument/2006/relationships/hyperlink" Target="http://budjetti.vm.fi/indox/sisalto.jsp?year=2016&amp;lang=fi&amp;maindoc=/2016/aky/aky.xml&amp;id=/2016/aky/YksityiskohtaisetPerustelut/30/20/20.html" TargetMode="External"/><Relationship Id="rId476" Type="http://schemas.openxmlformats.org/officeDocument/2006/relationships/hyperlink" Target="http://budjetti.vm.fi/indox/sisalto.jsp?year=2016&amp;lang=fi&amp;maindoc=/2016/aky/aky.xml&amp;id=/2016/aky/YksityiskohtaisetPerustelut/31/10/10.html" TargetMode="External"/><Relationship Id="rId641" Type="http://schemas.openxmlformats.org/officeDocument/2006/relationships/hyperlink" Target="http://budjetti.vm.fi/indox/sisalto.jsp?year=2016&amp;lang=fi&amp;maindoc=/2016/aky/aky.xml&amp;id=/2016/aky/YksityiskohtaisetPerustelut/33/70/50/50.html" TargetMode="External"/><Relationship Id="rId33" Type="http://schemas.openxmlformats.org/officeDocument/2006/relationships/hyperlink" Target="http://budjetti.vm.fi/indox/sisalto.jsp?year=2016&amp;lang=fi&amp;maindoc=/2016/aky/aky.xml&amp;id=/2016/aky/YksityiskohtaisetPerustelut/12/24/24.html" TargetMode="External"/><Relationship Id="rId129" Type="http://schemas.openxmlformats.org/officeDocument/2006/relationships/hyperlink" Target="http://budjetti.vm.fi/indox/sisalto.jsp?year=2016&amp;lang=fi&amp;maindoc=/2016/aky/aky.xml&amp;id=/2016/aky/YksityiskohtaisetPerustelut/21/20/20.html" TargetMode="External"/><Relationship Id="rId280" Type="http://schemas.openxmlformats.org/officeDocument/2006/relationships/hyperlink" Target="http://budjetti.vm.fi/indox/sisalto.jsp?year=2016&amp;lang=fi&amp;maindoc=/2016/aky/aky.xml&amp;id=/2016/aky/YksityiskohtaisetPerustelut/28/40/40.html" TargetMode="External"/><Relationship Id="rId336" Type="http://schemas.openxmlformats.org/officeDocument/2006/relationships/hyperlink" Target="http://budjetti.vm.fi/indox/sisalto.jsp?year=2016&amp;lang=fi&amp;maindoc=/2016/aky/aky.xml&amp;id=/2016/aky/YksityiskohtaisetPerustelut/29/01/29/29.html" TargetMode="External"/><Relationship Id="rId501" Type="http://schemas.openxmlformats.org/officeDocument/2006/relationships/hyperlink" Target="http://budjetti.vm.fi/indox/sisalto.jsp?year=2016&amp;lang=fi&amp;maindoc=/2016/aky/aky.xml&amp;id=/2016/aky/YksityiskohtaisetPerustelut/31/50/50.html" TargetMode="External"/><Relationship Id="rId543" Type="http://schemas.openxmlformats.org/officeDocument/2006/relationships/hyperlink" Target="http://budjetti.vm.fi/indox/sisalto.jsp?year=2016&amp;lang=fi&amp;maindoc=/2016/aky/aky.xml&amp;id=/2016/aky/YksityiskohtaisetPerustelut/32/40/01/01.html" TargetMode="External"/><Relationship Id="rId75" Type="http://schemas.openxmlformats.org/officeDocument/2006/relationships/hyperlink" Target="http://budjetti.vm.fi/indox/sisalto.jsp?year=2016&amp;lang=fi&amp;maindoc=/2016/aky/aky.xml&amp;id=/2016/aky/YksityiskohtaisetPerustelut/12/30/45/45.html" TargetMode="External"/><Relationship Id="rId140" Type="http://schemas.openxmlformats.org/officeDocument/2006/relationships/hyperlink" Target="http://budjetti.vm.fi/indox/sisalto.jsp?year=2016&amp;lang=fi&amp;maindoc=/2016/aky/aky.xml&amp;id=/2016/aky/YksityiskohtaisetPerustelut/22/01/01.html" TargetMode="External"/><Relationship Id="rId182" Type="http://schemas.openxmlformats.org/officeDocument/2006/relationships/hyperlink" Target="http://budjetti.vm.fi/indox/sisalto.jsp?year=2016&amp;lang=fi&amp;maindoc=/2016/aky/aky.xml&amp;id=/2016/aky/YksityiskohtaisetPerustelut/24/90/51/51.html" TargetMode="External"/><Relationship Id="rId378" Type="http://schemas.openxmlformats.org/officeDocument/2006/relationships/hyperlink" Target="http://budjetti.vm.fi/indox/sisalto.jsp?year=2016&amp;lang=fi&amp;maindoc=/2016/aky/aky.xml&amp;id=/2016/aky/YksityiskohtaisetPerustelut/29/70/55/55.html" TargetMode="External"/><Relationship Id="rId403" Type="http://schemas.openxmlformats.org/officeDocument/2006/relationships/hyperlink" Target="http://budjetti.vm.fi/indox/sisalto.jsp?year=2016&amp;lang=fi&amp;maindoc=/2016/aky/aky.xml&amp;id=/2016/aky/YksityiskohtaisetPerustelut/29/80/72/72.html" TargetMode="External"/><Relationship Id="rId585" Type="http://schemas.openxmlformats.org/officeDocument/2006/relationships/hyperlink" Target="http://budjetti.vm.fi/indox/sisalto.jsp?year=2016&amp;lang=fi&amp;maindoc=/2016/aky/aky.xml&amp;id=/2016/aky/YksityiskohtaisetPerustelut/33/03/04/04.html" TargetMode="External"/><Relationship Id="rId6" Type="http://schemas.openxmlformats.org/officeDocument/2006/relationships/hyperlink" Target="http://budjetti.vm.fi/indox/sisalto.jsp?year=2016&amp;lang=fi&amp;maindoc=/2016/aky/aky.xml&amp;id=/2016/aky/YksityiskohtaisetPerustelut/11/01/04/04.html" TargetMode="External"/><Relationship Id="rId238" Type="http://schemas.openxmlformats.org/officeDocument/2006/relationships/hyperlink" Target="http://budjetti.vm.fi/indox/sisalto.jsp?year=2016&amp;lang=fi&amp;maindoc=/2016/aky/aky.xml&amp;id=/2016/aky/YksityiskohtaisetPerustelut/26/40/20/20.html" TargetMode="External"/><Relationship Id="rId445" Type="http://schemas.openxmlformats.org/officeDocument/2006/relationships/hyperlink" Target="http://budjetti.vm.fi/indox/sisalto.jsp?year=2016&amp;lang=fi&amp;maindoc=/2016/aky/aky.xml&amp;id=/2016/aky/YksityiskohtaisetPerustelut/30/20/60/60.html" TargetMode="External"/><Relationship Id="rId487" Type="http://schemas.openxmlformats.org/officeDocument/2006/relationships/hyperlink" Target="http://budjetti.vm.fi/indox/sisalto.jsp?year=2016&amp;lang=fi&amp;maindoc=/2016/aky/aky.xml&amp;id=/2016/aky/YksityiskohtaisetPerustelut/31/20/01/01.html" TargetMode="External"/><Relationship Id="rId610" Type="http://schemas.openxmlformats.org/officeDocument/2006/relationships/hyperlink" Target="http://budjetti.vm.fi/indox/sisalto.jsp?year=2016&amp;lang=fi&amp;maindoc=/2016/aky/aky.xml&amp;id=/2016/aky/YksityiskohtaisetPerustelut/33/40/52/52.html" TargetMode="External"/><Relationship Id="rId652" Type="http://schemas.openxmlformats.org/officeDocument/2006/relationships/hyperlink" Target="http://budjetti.vm.fi/indox/sisalto.jsp?year=2016&amp;lang=fi&amp;maindoc=/2016/aky/aky.xml&amp;id=/2016/aky/YksityiskohtaisetPerustelut/35/01/01.html" TargetMode="External"/><Relationship Id="rId291" Type="http://schemas.openxmlformats.org/officeDocument/2006/relationships/hyperlink" Target="http://budjetti.vm.fi/indox/sisalto.jsp?year=2016&amp;lang=fi&amp;maindoc=/2016/aky/aky.xml&amp;id=/2016/aky/YksityiskohtaisetPerustelut/28/60/60.html" TargetMode="External"/><Relationship Id="rId305" Type="http://schemas.openxmlformats.org/officeDocument/2006/relationships/hyperlink" Target="http://budjetti.vm.fi/indox/sisalto.jsp?year=2016&amp;lang=fi&amp;maindoc=/2016/aky/aky.xml&amp;id=/2016/aky/YksityiskohtaisetPerustelut/28/80/31/31.html" TargetMode="External"/><Relationship Id="rId347" Type="http://schemas.openxmlformats.org/officeDocument/2006/relationships/hyperlink" Target="http://budjetti.vm.fi/indox/sisalto.jsp?year=2016&amp;lang=fi&amp;maindoc=/2016/aky/aky.xml&amp;id=/2016/aky/YksityiskohtaisetPerustelut/29/10/51/51.html" TargetMode="External"/><Relationship Id="rId512" Type="http://schemas.openxmlformats.org/officeDocument/2006/relationships/hyperlink" Target="http://budjetti.vm.fi/indox/sisalto.jsp?year=2016&amp;lang=fi&amp;maindoc=/2016/aky/aky.xml&amp;id=/2016/aky/YksityiskohtaisetPerustelut/32/01/41/41.html" TargetMode="External"/><Relationship Id="rId44" Type="http://schemas.openxmlformats.org/officeDocument/2006/relationships/hyperlink" Target="http://budjetti.vm.fi/indox/sisalto.jsp?year=2016&amp;lang=fi&amp;maindoc=/2016/aky/aky.xml&amp;id=/2016/aky/YksityiskohtaisetPerustelut/12/27/01/01.html" TargetMode="External"/><Relationship Id="rId86" Type="http://schemas.openxmlformats.org/officeDocument/2006/relationships/hyperlink" Target="http://budjetti.vm.fi/indox/sisalto.jsp?year=2016&amp;lang=fi&amp;maindoc=/2016/aky/aky.xml&amp;id=/2016/aky/YksityiskohtaisetPerustelut/12/33/33.html" TargetMode="External"/><Relationship Id="rId151" Type="http://schemas.openxmlformats.org/officeDocument/2006/relationships/hyperlink" Target="http://budjetti.vm.fi/indox/sisalto.jsp?year=2016&amp;lang=fi&amp;maindoc=/2016/aky/aky.xml&amp;id=/2016/aky/YksityiskohtaisetPerustelut/23/01/02/02.html" TargetMode="External"/><Relationship Id="rId389" Type="http://schemas.openxmlformats.org/officeDocument/2006/relationships/hyperlink" Target="http://budjetti.vm.fi/indox/sisalto.jsp?year=2016&amp;lang=fi&amp;maindoc=/2016/aky/aky.xml&amp;id=/2016/aky/YksityiskohtaisetPerustelut/29/80/30/30.html" TargetMode="External"/><Relationship Id="rId554" Type="http://schemas.openxmlformats.org/officeDocument/2006/relationships/hyperlink" Target="http://budjetti.vm.fi/indox/sisalto.jsp?year=2016&amp;lang=fi&amp;maindoc=/2016/aky/aky.xml&amp;id=/2016/aky/YksityiskohtaisetPerustelut/32/60/60.html" TargetMode="External"/><Relationship Id="rId596" Type="http://schemas.openxmlformats.org/officeDocument/2006/relationships/hyperlink" Target="http://budjetti.vm.fi/indox/sisalto.jsp?year=2016&amp;lang=fi&amp;maindoc=/2016/aky/aky.xml&amp;id=/2016/aky/YksityiskohtaisetPerustelut/33/10/56/56.html" TargetMode="External"/><Relationship Id="rId193" Type="http://schemas.openxmlformats.org/officeDocument/2006/relationships/hyperlink" Target="http://budjetti.vm.fi/indox/sisalto.jsp?year=2016&amp;lang=fi&amp;maindoc=/2016/aky/aky.xml&amp;id=/2016/aky/YksityiskohtaisetPerustelut/25/01/21/21.html" TargetMode="External"/><Relationship Id="rId207" Type="http://schemas.openxmlformats.org/officeDocument/2006/relationships/hyperlink" Target="http://budjetti.vm.fi/indox/sisalto.jsp?year=2016&amp;lang=fi&amp;maindoc=/2016/aky/aky.xml&amp;id=/2016/aky/YksityiskohtaisetPerustelut/25/30/01/01.html" TargetMode="External"/><Relationship Id="rId249" Type="http://schemas.openxmlformats.org/officeDocument/2006/relationships/hyperlink" Target="http://budjetti.vm.fi/indox/sisalto.jsp?year=2016&amp;lang=fi&amp;maindoc=/2016/aky/aky.xml&amp;id=/2016/aky/YksityiskohtaisetPerustelut/27/10/19/19.html" TargetMode="External"/><Relationship Id="rId414" Type="http://schemas.openxmlformats.org/officeDocument/2006/relationships/hyperlink" Target="http://budjetti.vm.fi/indox/sisalto.jsp?year=2016&amp;lang=fi&amp;maindoc=/2016/aky/aky.xml&amp;id=/2016/aky/YksityiskohtaisetPerustelut/30/30.html" TargetMode="External"/><Relationship Id="rId456" Type="http://schemas.openxmlformats.org/officeDocument/2006/relationships/hyperlink" Target="http://budjetti.vm.fi/indox/sisalto.jsp?year=2016&amp;lang=fi&amp;maindoc=/2016/aky/aky.xml&amp;id=/2016/aky/YksityiskohtaisetPerustelut/30/40/44/44.html" TargetMode="External"/><Relationship Id="rId498" Type="http://schemas.openxmlformats.org/officeDocument/2006/relationships/hyperlink" Target="http://budjetti.vm.fi/indox/sisalto.jsp?year=2016&amp;lang=fi&amp;maindoc=/2016/aky/aky.xml&amp;id=/2016/aky/YksityiskohtaisetPerustelut/31/40/44/44.html" TargetMode="External"/><Relationship Id="rId621" Type="http://schemas.openxmlformats.org/officeDocument/2006/relationships/hyperlink" Target="http://budjetti.vm.fi/indox/sisalto.jsp?year=2016&amp;lang=fi&amp;maindoc=/2016/aky/aky.xml&amp;id=/2016/aky/YksityiskohtaisetPerustelut/33/50/55/55.html" TargetMode="External"/><Relationship Id="rId663" Type="http://schemas.openxmlformats.org/officeDocument/2006/relationships/hyperlink" Target="http://budjetti.vm.fi/indox/sisalto.jsp?year=2016&amp;lang=fi&amp;maindoc=/2016/aky/aky.xml&amp;id=/2016/aky/YksityiskohtaisetPerustelut/35/10/61/61.html" TargetMode="External"/><Relationship Id="rId13" Type="http://schemas.openxmlformats.org/officeDocument/2006/relationships/hyperlink" Target="http://budjetti.vm.fi/indox/sisalto.jsp?year=2016&amp;lang=fi&amp;maindoc=/2016/aky/aky.xml&amp;id=/2016/aky/YksityiskohtaisetPerustelut/11/08/04/04.html" TargetMode="External"/><Relationship Id="rId109" Type="http://schemas.openxmlformats.org/officeDocument/2006/relationships/hyperlink" Target="http://budjetti.vm.fi/indox/sisalto.jsp?year=2016&amp;lang=fi&amp;maindoc=/2016/aky/aky.xml&amp;id=/2016/aky/YksityiskohtaisetPerustelut/13/04/04.html" TargetMode="External"/><Relationship Id="rId260" Type="http://schemas.openxmlformats.org/officeDocument/2006/relationships/hyperlink" Target="http://budjetti.vm.fi/indox/sisalto.jsp?year=2016&amp;lang=fi&amp;maindoc=/2016/aky/aky.xml&amp;id=/2016/aky/YksityiskohtaisetPerustelut/28/10/10.html" TargetMode="External"/><Relationship Id="rId316" Type="http://schemas.openxmlformats.org/officeDocument/2006/relationships/hyperlink" Target="http://budjetti.vm.fi/indox/sisalto.jsp?year=2016&amp;lang=fi&amp;maindoc=/2016/aky/aky.xml&amp;id=/2016/aky/YksityiskohtaisetPerustelut/28/92/03/03.html" TargetMode="External"/><Relationship Id="rId523" Type="http://schemas.openxmlformats.org/officeDocument/2006/relationships/hyperlink" Target="http://budjetti.vm.fi/indox/sisalto.jsp?year=2016&amp;lang=fi&amp;maindoc=/2016/aky/aky.xml&amp;id=/2016/aky/YksityiskohtaisetPerustelut/32/20/41/41.html" TargetMode="External"/><Relationship Id="rId55" Type="http://schemas.openxmlformats.org/officeDocument/2006/relationships/hyperlink" Target="http://budjetti.vm.fi/indox/sisalto.jsp?year=2016&amp;lang=fi&amp;maindoc=/2016/aky/aky.xml&amp;id=/2016/aky/YksityiskohtaisetPerustelut/12/28/51/51.html" TargetMode="External"/><Relationship Id="rId97" Type="http://schemas.openxmlformats.org/officeDocument/2006/relationships/hyperlink" Target="http://budjetti.vm.fi/indox/sisalto.jsp?year=2016&amp;lang=fi&amp;maindoc=/2016/aky/aky.xml&amp;id=/2016/aky/YksityiskohtaisetPerustelut/12/39/01/01.html" TargetMode="External"/><Relationship Id="rId120" Type="http://schemas.openxmlformats.org/officeDocument/2006/relationships/hyperlink" Target="http://budjetti.vm.fi/indox/sisalto.jsp?year=2016&amp;lang=fi&amp;maindoc=/2016/aky/aky.xml&amp;id=/2016/aky/YksityiskohtaisetPerustelut/21/01/01.html" TargetMode="External"/><Relationship Id="rId358" Type="http://schemas.openxmlformats.org/officeDocument/2006/relationships/hyperlink" Target="http://budjetti.vm.fi/indox/sisalto.jsp?year=2016&amp;lang=fi&amp;maindoc=/2016/aky/aky.xml&amp;id=/2016/aky/YksityiskohtaisetPerustelut/29/30/33/33.html" TargetMode="External"/><Relationship Id="rId565" Type="http://schemas.openxmlformats.org/officeDocument/2006/relationships/hyperlink" Target="http://budjetti.vm.fi/indox/sisalto.jsp?year=2016&amp;lang=fi&amp;maindoc=/2016/aky/aky.xml&amp;id=/2016/aky/YksityiskohtaisetPerustelut/32/70/30/30.html" TargetMode="External"/><Relationship Id="rId162" Type="http://schemas.openxmlformats.org/officeDocument/2006/relationships/hyperlink" Target="http://budjetti.vm.fi/indox/sisalto.jsp?year=2016&amp;lang=fi&amp;maindoc=/2016/aky/aky.xml&amp;id=/2016/aky/YksityiskohtaisetPerustelut/23/30/01/01.html" TargetMode="External"/><Relationship Id="rId218" Type="http://schemas.openxmlformats.org/officeDocument/2006/relationships/hyperlink" Target="http://budjetti.vm.fi/indox/sisalto.jsp?year=2016&amp;lang=fi&amp;maindoc=/2016/aky/aky.xml&amp;id=/2016/aky/YksityiskohtaisetPerustelut/26/01/23/23.html" TargetMode="External"/><Relationship Id="rId425" Type="http://schemas.openxmlformats.org/officeDocument/2006/relationships/hyperlink" Target="http://budjetti.vm.fi/indox/sisalto.jsp?year=2016&amp;lang=fi&amp;maindoc=/2016/aky/aky.xml&amp;id=/2016/aky/YksityiskohtaisetPerustelut/30/10/42/42.html" TargetMode="External"/><Relationship Id="rId467" Type="http://schemas.openxmlformats.org/officeDocument/2006/relationships/hyperlink" Target="http://budjetti.vm.fi/indox/sisalto.jsp?year=2016&amp;lang=fi&amp;maindoc=/2016/aky/aky.xml&amp;id=/2016/aky/YksityiskohtaisetPerustelut/30/64/50/50.html" TargetMode="External"/><Relationship Id="rId632" Type="http://schemas.openxmlformats.org/officeDocument/2006/relationships/hyperlink" Target="http://budjetti.vm.fi/indox/sisalto.jsp?year=2016&amp;lang=fi&amp;maindoc=/2016/aky/aky.xml&amp;id=/2016/aky/YksityiskohtaisetPerustelut/33/60/40/40.html" TargetMode="External"/><Relationship Id="rId271" Type="http://schemas.openxmlformats.org/officeDocument/2006/relationships/hyperlink" Target="http://budjetti.vm.fi/indox/sisalto.jsp?year=2016&amp;lang=fi&amp;maindoc=/2016/aky/aky.xml&amp;id=/2016/aky/YksityiskohtaisetPerustelut/28/20/08/08.html" TargetMode="External"/><Relationship Id="rId674" Type="http://schemas.openxmlformats.org/officeDocument/2006/relationships/hyperlink" Target="http://budjetti.vm.fi/indox/sisalto.jsp?year=2016&amp;lang=fi&amp;maindoc=/2016/aky/aky.xml&amp;id=/2016/aky/YksityiskohtaisetPerustelut/35/20/64/64.html" TargetMode="External"/><Relationship Id="rId24" Type="http://schemas.openxmlformats.org/officeDocument/2006/relationships/hyperlink" Target="http://budjetti.vm.fi/indox/sisalto.jsp?year=2016&amp;lang=fi&amp;maindoc=/2016/aky/aky.xml&amp;id=/2016/aky/YksityiskohtaisetPerustelut/11/19/03/03.html" TargetMode="External"/><Relationship Id="rId66" Type="http://schemas.openxmlformats.org/officeDocument/2006/relationships/hyperlink" Target="http://budjetti.vm.fi/indox/sisalto.jsp?year=2016&amp;lang=fi&amp;maindoc=/2016/aky/aky.xml&amp;id=/2016/aky/YksityiskohtaisetPerustelut/12/30/01/01.html" TargetMode="External"/><Relationship Id="rId131" Type="http://schemas.openxmlformats.org/officeDocument/2006/relationships/hyperlink" Target="http://budjetti.vm.fi/indox/sisalto.jsp?year=2016&amp;lang=fi&amp;maindoc=/2016/aky/aky.xml&amp;id=/2016/aky/YksityiskohtaisetPerustelut/21/30/30.html" TargetMode="External"/><Relationship Id="rId327" Type="http://schemas.openxmlformats.org/officeDocument/2006/relationships/hyperlink" Target="http://budjetti.vm.fi/indox/sisalto.jsp?year=2016&amp;lang=fi&amp;maindoc=/2016/aky/aky.xml&amp;id=/2016/aky/YksityiskohtaisetPerustelut/28/99/98/98.html" TargetMode="External"/><Relationship Id="rId369" Type="http://schemas.openxmlformats.org/officeDocument/2006/relationships/hyperlink" Target="http://budjetti.vm.fi/indox/sisalto.jsp?year=2016&amp;lang=fi&amp;maindoc=/2016/aky/aky.xml&amp;id=/2016/aky/YksityiskohtaisetPerustelut/29/40/51/51.html" TargetMode="External"/><Relationship Id="rId534" Type="http://schemas.openxmlformats.org/officeDocument/2006/relationships/hyperlink" Target="http://budjetti.vm.fi/indox/sisalto.jsp?year=2016&amp;lang=fi&amp;maindoc=/2016/aky/aky.xml&amp;id=/2016/aky/YksityiskohtaisetPerustelut/32/20/88/88.html" TargetMode="External"/><Relationship Id="rId576" Type="http://schemas.openxmlformats.org/officeDocument/2006/relationships/hyperlink" Target="http://budjetti.vm.fi/indox/sisalto.jsp?year=2016&amp;lang=fi&amp;maindoc=/2016/aky/aky.xml&amp;id=/2016/aky/YksityiskohtaisetPerustelut/33/01/66/66.html" TargetMode="External"/><Relationship Id="rId173" Type="http://schemas.openxmlformats.org/officeDocument/2006/relationships/hyperlink" Target="http://budjetti.vm.fi/indox/sisalto.jsp?year=2016&amp;lang=fi&amp;maindoc=/2016/aky/aky.xml&amp;id=/2016/aky/YksityiskohtaisetPerustelut/24/10/10.html" TargetMode="External"/><Relationship Id="rId229" Type="http://schemas.openxmlformats.org/officeDocument/2006/relationships/hyperlink" Target="http://budjetti.vm.fi/indox/sisalto.jsp?year=2016&amp;lang=fi&amp;maindoc=/2016/aky/aky.xml&amp;id=/2016/aky/YksityiskohtaisetPerustelut/26/20/01/01.html" TargetMode="External"/><Relationship Id="rId380" Type="http://schemas.openxmlformats.org/officeDocument/2006/relationships/hyperlink" Target="http://budjetti.vm.fi/indox/sisalto.jsp?year=2016&amp;lang=fi&amp;maindoc=/2016/aky/aky.xml&amp;id=/2016/aky/YksityiskohtaisetPerustelut/29/70/59/59.html" TargetMode="External"/><Relationship Id="rId436" Type="http://schemas.openxmlformats.org/officeDocument/2006/relationships/hyperlink" Target="http://budjetti.vm.fi/indox/sisalto.jsp?year=2016&amp;lang=fi&amp;maindoc=/2016/aky/aky.xml&amp;id=/2016/aky/YksityiskohtaisetPerustelut/30/20/03/03.html" TargetMode="External"/><Relationship Id="rId601" Type="http://schemas.openxmlformats.org/officeDocument/2006/relationships/hyperlink" Target="http://budjetti.vm.fi/indox/sisalto.jsp?year=2016&amp;lang=fi&amp;maindoc=/2016/aky/aky.xml&amp;id=/2016/aky/YksityiskohtaisetPerustelut/33/20/51/51.html" TargetMode="External"/><Relationship Id="rId643" Type="http://schemas.openxmlformats.org/officeDocument/2006/relationships/hyperlink" Target="http://budjetti.vm.fi/indox/sisalto.jsp?year=2016&amp;lang=fi&amp;maindoc=/2016/aky/aky.xml&amp;id=/2016/aky/YksityiskohtaisetPerustelut/33/70/52/52.html" TargetMode="External"/><Relationship Id="rId240" Type="http://schemas.openxmlformats.org/officeDocument/2006/relationships/hyperlink" Target="http://budjetti.vm.fi/indox/sisalto.jsp?year=2016&amp;lang=fi&amp;maindoc=/2016/aky/aky.xml&amp;id=/2016/aky/YksityiskohtaisetPerustelut/26/40/63/63.html" TargetMode="External"/><Relationship Id="rId478" Type="http://schemas.openxmlformats.org/officeDocument/2006/relationships/hyperlink" Target="http://budjetti.vm.fi/indox/sisalto.jsp?year=2016&amp;lang=fi&amp;maindoc=/2016/aky/aky.xml&amp;id=/2016/aky/YksityiskohtaisetPerustelut/31/10/20/20.html" TargetMode="External"/><Relationship Id="rId35" Type="http://schemas.openxmlformats.org/officeDocument/2006/relationships/hyperlink" Target="http://budjetti.vm.fi/indox/sisalto.jsp?year=2016&amp;lang=fi&amp;maindoc=/2016/aky/aky.xml&amp;id=/2016/aky/YksityiskohtaisetPerustelut/12/25/25.html" TargetMode="External"/><Relationship Id="rId77" Type="http://schemas.openxmlformats.org/officeDocument/2006/relationships/hyperlink" Target="http://budjetti.vm.fi/indox/sisalto.jsp?year=2016&amp;lang=fi&amp;maindoc=/2016/aky/aky.xml&amp;id=/2016/aky/YksityiskohtaisetPerustelut/12/31/31.html" TargetMode="External"/><Relationship Id="rId100" Type="http://schemas.openxmlformats.org/officeDocument/2006/relationships/hyperlink" Target="http://budjetti.vm.fi/indox/sisalto.jsp?year=2016&amp;lang=fi&amp;maindoc=/2016/aky/aky.xml&amp;id=/2016/aky/YksityiskohtaisetPerustelut/12/39/10/10.html" TargetMode="External"/><Relationship Id="rId282" Type="http://schemas.openxmlformats.org/officeDocument/2006/relationships/hyperlink" Target="http://budjetti.vm.fi/indox/sisalto.jsp?year=2016&amp;lang=fi&amp;maindoc=/2016/aky/aky.xml&amp;id=/2016/aky/YksityiskohtaisetPerustelut/28/40/02/02.html" TargetMode="External"/><Relationship Id="rId338" Type="http://schemas.openxmlformats.org/officeDocument/2006/relationships/hyperlink" Target="http://budjetti.vm.fi/indox/sisalto.jsp?year=2016&amp;lang=fi&amp;maindoc=/2016/aky/aky.xml&amp;id=/2016/aky/YksityiskohtaisetPerustelut/29/01/51/51.html" TargetMode="External"/><Relationship Id="rId503" Type="http://schemas.openxmlformats.org/officeDocument/2006/relationships/hyperlink" Target="http://budjetti.vm.fi/indox/sisalto.jsp?year=2016&amp;lang=fi&amp;maindoc=/2016/aky/aky.xml&amp;id=/2016/aky/YksityiskohtaisetPerustelut/32/32.html" TargetMode="External"/><Relationship Id="rId545" Type="http://schemas.openxmlformats.org/officeDocument/2006/relationships/hyperlink" Target="http://budjetti.vm.fi/indox/sisalto.jsp?year=2016&amp;lang=fi&amp;maindoc=/2016/aky/aky.xml&amp;id=/2016/aky/YksityiskohtaisetPerustelut/32/40/05/05.html" TargetMode="External"/><Relationship Id="rId587" Type="http://schemas.openxmlformats.org/officeDocument/2006/relationships/hyperlink" Target="http://budjetti.vm.fi/indox/sisalto.jsp?year=2016&amp;lang=fi&amp;maindoc=/2016/aky/aky.xml&amp;id=/2016/aky/YksityiskohtaisetPerustelut/33/03/50/50.html" TargetMode="External"/><Relationship Id="rId8" Type="http://schemas.openxmlformats.org/officeDocument/2006/relationships/hyperlink" Target="http://budjetti.vm.fi/indox/sisalto.jsp?year=2016&amp;lang=fi&amp;maindoc=/2016/aky/aky.xml&amp;id=/2016/aky/YksityiskohtaisetPerustelut/11/04/01/01.html" TargetMode="External"/><Relationship Id="rId142" Type="http://schemas.openxmlformats.org/officeDocument/2006/relationships/hyperlink" Target="http://budjetti.vm.fi/indox/sisalto.jsp?year=2016&amp;lang=fi&amp;maindoc=/2016/aky/aky.xml&amp;id=/2016/aky/YksityiskohtaisetPerustelut/22/01/02/02.html" TargetMode="External"/><Relationship Id="rId184" Type="http://schemas.openxmlformats.org/officeDocument/2006/relationships/hyperlink" Target="http://budjetti.vm.fi/indox/sisalto.jsp?year=2016&amp;lang=fi&amp;maindoc=/2016/aky/aky.xml&amp;id=/2016/aky/YksityiskohtaisetPerustelut/24/90/67/67.html" TargetMode="External"/><Relationship Id="rId391" Type="http://schemas.openxmlformats.org/officeDocument/2006/relationships/hyperlink" Target="http://budjetti.vm.fi/indox/sisalto.jsp?year=2016&amp;lang=fi&amp;maindoc=/2016/aky/aky.xml&amp;id=/2016/aky/YksityiskohtaisetPerustelut/29/80/32/32.html" TargetMode="External"/><Relationship Id="rId405" Type="http://schemas.openxmlformats.org/officeDocument/2006/relationships/hyperlink" Target="http://budjetti.vm.fi/indox/sisalto.jsp?year=2016&amp;lang=fi&amp;maindoc=/2016/aky/aky.xml&amp;id=/2016/aky/YksityiskohtaisetPerustelut/29/80/95/95.html" TargetMode="External"/><Relationship Id="rId447" Type="http://schemas.openxmlformats.org/officeDocument/2006/relationships/hyperlink" Target="http://budjetti.vm.fi/indox/sisalto.jsp?year=2016&amp;lang=fi&amp;maindoc=/2016/aky/aky.xml&amp;id=/2016/aky/YksityiskohtaisetPerustelut/30/20/62/62.html" TargetMode="External"/><Relationship Id="rId612" Type="http://schemas.openxmlformats.org/officeDocument/2006/relationships/hyperlink" Target="http://budjetti.vm.fi/indox/sisalto.jsp?year=2016&amp;lang=fi&amp;maindoc=/2016/aky/aky.xml&amp;id=/2016/aky/YksityiskohtaisetPerustelut/33/40/54/54.html" TargetMode="External"/><Relationship Id="rId251" Type="http://schemas.openxmlformats.org/officeDocument/2006/relationships/hyperlink" Target="http://budjetti.vm.fi/indox/sisalto.jsp?year=2016&amp;lang=fi&amp;maindoc=/2016/aky/aky.xml&amp;id=/2016/aky/YksityiskohtaisetPerustelut/27/30/30.html" TargetMode="External"/><Relationship Id="rId489" Type="http://schemas.openxmlformats.org/officeDocument/2006/relationships/hyperlink" Target="http://budjetti.vm.fi/indox/sisalto.jsp?year=2016&amp;lang=fi&amp;maindoc=/2016/aky/aky.xml&amp;id=/2016/aky/YksityiskohtaisetPerustelut/31/30/42/42.html" TargetMode="External"/><Relationship Id="rId654" Type="http://schemas.openxmlformats.org/officeDocument/2006/relationships/hyperlink" Target="http://budjetti.vm.fi/indox/sisalto.jsp?year=2016&amp;lang=fi&amp;maindoc=/2016/aky/aky.xml&amp;id=/2016/aky/YksityiskohtaisetPerustelut/35/01/04/04.html" TargetMode="External"/><Relationship Id="rId46" Type="http://schemas.openxmlformats.org/officeDocument/2006/relationships/hyperlink" Target="http://budjetti.vm.fi/indox/sisalto.jsp?year=2016&amp;lang=fi&amp;maindoc=/2016/aky/aky.xml&amp;id=/2016/aky/YksityiskohtaisetPerustelut/12/27/99/99.html" TargetMode="External"/><Relationship Id="rId293" Type="http://schemas.openxmlformats.org/officeDocument/2006/relationships/hyperlink" Target="http://budjetti.vm.fi/indox/sisalto.jsp?year=2016&amp;lang=fi&amp;maindoc=/2016/aky/aky.xml&amp;id=/2016/aky/YksityiskohtaisetPerustelut/28/60/10/10.html" TargetMode="External"/><Relationship Id="rId307" Type="http://schemas.openxmlformats.org/officeDocument/2006/relationships/hyperlink" Target="http://budjetti.vm.fi/indox/sisalto.jsp?year=2016&amp;lang=fi&amp;maindoc=/2016/aky/aky.xml&amp;id=/2016/aky/YksityiskohtaisetPerustelut/28/90/90.html" TargetMode="External"/><Relationship Id="rId349" Type="http://schemas.openxmlformats.org/officeDocument/2006/relationships/hyperlink" Target="http://budjetti.vm.fi/indox/sisalto.jsp?year=2016&amp;lang=fi&amp;maindoc=/2016/aky/aky.xml&amp;id=/2016/aky/YksityiskohtaisetPerustelut/29/20/01/01.html" TargetMode="External"/><Relationship Id="rId514" Type="http://schemas.openxmlformats.org/officeDocument/2006/relationships/hyperlink" Target="http://budjetti.vm.fi/indox/sisalto.jsp?year=2016&amp;lang=fi&amp;maindoc=/2016/aky/aky.xml&amp;id=/2016/aky/YksityiskohtaisetPerustelut/32/01/60/60.html" TargetMode="External"/><Relationship Id="rId556" Type="http://schemas.openxmlformats.org/officeDocument/2006/relationships/hyperlink" Target="http://budjetti.vm.fi/indox/sisalto.jsp?year=2016&amp;lang=fi&amp;maindoc=/2016/aky/aky.xml&amp;id=/2016/aky/YksityiskohtaisetPerustelut/32/60/40/40.html" TargetMode="External"/><Relationship Id="rId88" Type="http://schemas.openxmlformats.org/officeDocument/2006/relationships/hyperlink" Target="http://budjetti.vm.fi/indox/sisalto.jsp?year=2016&amp;lang=fi&amp;maindoc=/2016/aky/aky.xml&amp;id=/2016/aky/YksityiskohtaisetPerustelut/12/33/03/03.html" TargetMode="External"/><Relationship Id="rId111" Type="http://schemas.openxmlformats.org/officeDocument/2006/relationships/hyperlink" Target="http://budjetti.vm.fi/indox/sisalto.jsp?year=2016&amp;lang=fi&amp;maindoc=/2016/aky/aky.xml&amp;id=/2016/aky/YksityiskohtaisetPerustelut/13/05/05.html" TargetMode="External"/><Relationship Id="rId153" Type="http://schemas.openxmlformats.org/officeDocument/2006/relationships/hyperlink" Target="http://budjetti.vm.fi/indox/sisalto.jsp?year=2016&amp;lang=fi&amp;maindoc=/2016/aky/aky.xml&amp;id=/2016/aky/YksityiskohtaisetPerustelut/23/01/20/20.html" TargetMode="External"/><Relationship Id="rId195" Type="http://schemas.openxmlformats.org/officeDocument/2006/relationships/hyperlink" Target="http://budjetti.vm.fi/indox/sisalto.jsp?year=2016&amp;lang=fi&amp;maindoc=/2016/aky/aky.xml&amp;id=/2016/aky/YksityiskohtaisetPerustelut/25/01/29/29.html" TargetMode="External"/><Relationship Id="rId209" Type="http://schemas.openxmlformats.org/officeDocument/2006/relationships/hyperlink" Target="http://budjetti.vm.fi/indox/sisalto.jsp?year=2016&amp;lang=fi&amp;maindoc=/2016/aky/aky.xml&amp;id=/2016/aky/YksityiskohtaisetPerustelut/25/40/01/01.html" TargetMode="External"/><Relationship Id="rId360" Type="http://schemas.openxmlformats.org/officeDocument/2006/relationships/hyperlink" Target="http://budjetti.vm.fi/indox/sisalto.jsp?year=2016&amp;lang=fi&amp;maindoc=/2016/aky/aky.xml&amp;id=/2016/aky/YksityiskohtaisetPerustelut/29/30/53/53.html" TargetMode="External"/><Relationship Id="rId416" Type="http://schemas.openxmlformats.org/officeDocument/2006/relationships/hyperlink" Target="http://budjetti.vm.fi/indox/sisalto.jsp?year=2016&amp;lang=fi&amp;maindoc=/2016/aky/aky.xml&amp;id=/2016/aky/YksityiskohtaisetPerustelut/30/01/01/01.html" TargetMode="External"/><Relationship Id="rId598" Type="http://schemas.openxmlformats.org/officeDocument/2006/relationships/hyperlink" Target="http://budjetti.vm.fi/indox/sisalto.jsp?year=2016&amp;lang=fi&amp;maindoc=/2016/aky/aky.xml&amp;id=/2016/aky/YksityiskohtaisetPerustelut/33/20/20.html" TargetMode="External"/><Relationship Id="rId220" Type="http://schemas.openxmlformats.org/officeDocument/2006/relationships/hyperlink" Target="http://budjetti.vm.fi/indox/sisalto.jsp?year=2016&amp;lang=fi&amp;maindoc=/2016/aky/aky.xml&amp;id=/2016/aky/YksityiskohtaisetPerustelut/26/01/29/29.html" TargetMode="External"/><Relationship Id="rId458" Type="http://schemas.openxmlformats.org/officeDocument/2006/relationships/hyperlink" Target="http://budjetti.vm.fi/indox/sisalto.jsp?year=2016&amp;lang=fi&amp;maindoc=/2016/aky/aky.xml&amp;id=/2016/aky/YksityiskohtaisetPerustelut/30/40/46/46.html" TargetMode="External"/><Relationship Id="rId623" Type="http://schemas.openxmlformats.org/officeDocument/2006/relationships/hyperlink" Target="http://budjetti.vm.fi/indox/sisalto.jsp?year=2016&amp;lang=fi&amp;maindoc=/2016/aky/aky.xml&amp;id=/2016/aky/YksityiskohtaisetPerustelut/33/50/57/57.html" TargetMode="External"/><Relationship Id="rId665" Type="http://schemas.openxmlformats.org/officeDocument/2006/relationships/hyperlink" Target="http://budjetti.vm.fi/indox/sisalto.jsp?year=2016&amp;lang=fi&amp;maindoc=/2016/aky/aky.xml&amp;id=/2016/aky/YksityiskohtaisetPerustelut/35/10/64/64.html" TargetMode="External"/><Relationship Id="rId15" Type="http://schemas.openxmlformats.org/officeDocument/2006/relationships/hyperlink" Target="http://budjetti.vm.fi/indox/sisalto.jsp?year=2016&amp;lang=fi&amp;maindoc=/2016/aky/aky.xml&amp;id=/2016/aky/YksityiskohtaisetPerustelut/11/08/07/07.html" TargetMode="External"/><Relationship Id="rId57" Type="http://schemas.openxmlformats.org/officeDocument/2006/relationships/hyperlink" Target="http://budjetti.vm.fi/indox/sisalto.jsp?year=2016&amp;lang=fi&amp;maindoc=/2016/aky/aky.xml&amp;id=/2016/aky/YksityiskohtaisetPerustelut/12/28/60/60.html" TargetMode="External"/><Relationship Id="rId262" Type="http://schemas.openxmlformats.org/officeDocument/2006/relationships/hyperlink" Target="http://budjetti.vm.fi/indox/sisalto.jsp?year=2016&amp;lang=fi&amp;maindoc=/2016/aky/aky.xml&amp;id=/2016/aky/YksityiskohtaisetPerustelut/28/10/02/02.html" TargetMode="External"/><Relationship Id="rId318" Type="http://schemas.openxmlformats.org/officeDocument/2006/relationships/hyperlink" Target="http://budjetti.vm.fi/indox/sisalto.jsp?year=2016&amp;lang=fi&amp;maindoc=/2016/aky/aky.xml&amp;id=/2016/aky/YksityiskohtaisetPerustelut/28/92/40/40.html" TargetMode="External"/><Relationship Id="rId525" Type="http://schemas.openxmlformats.org/officeDocument/2006/relationships/hyperlink" Target="http://budjetti.vm.fi/indox/sisalto.jsp?year=2016&amp;lang=fi&amp;maindoc=/2016/aky/aky.xml&amp;id=/2016/aky/YksityiskohtaisetPerustelut/32/20/43/43.html" TargetMode="External"/><Relationship Id="rId567" Type="http://schemas.openxmlformats.org/officeDocument/2006/relationships/hyperlink" Target="http://budjetti.vm.fi/indox/sisalto.jsp?year=2016&amp;lang=fi&amp;maindoc=/2016/aky/aky.xml&amp;id=/2016/aky/YksityiskohtaisetPerustelut/33/01/01.html" TargetMode="External"/><Relationship Id="rId99" Type="http://schemas.openxmlformats.org/officeDocument/2006/relationships/hyperlink" Target="http://budjetti.vm.fi/indox/sisalto.jsp?year=2016&amp;lang=fi&amp;maindoc=/2016/aky/aky.xml&amp;id=/2016/aky/YksityiskohtaisetPerustelut/12/39/04/04.html" TargetMode="External"/><Relationship Id="rId122" Type="http://schemas.openxmlformats.org/officeDocument/2006/relationships/hyperlink" Target="http://budjetti.vm.fi/indox/sisalto.jsp?year=2016&amp;lang=fi&amp;maindoc=/2016/aky/aky.xml&amp;id=/2016/aky/YksityiskohtaisetPerustelut/21/10/10.html" TargetMode="External"/><Relationship Id="rId164" Type="http://schemas.openxmlformats.org/officeDocument/2006/relationships/hyperlink" Target="http://budjetti.vm.fi/indox/sisalto.jsp?year=2016&amp;lang=fi&amp;maindoc=/2016/aky/aky.xml&amp;id=/2016/aky/YksityiskohtaisetPerustelut/23/90/21/21.html" TargetMode="External"/><Relationship Id="rId371" Type="http://schemas.openxmlformats.org/officeDocument/2006/relationships/hyperlink" Target="http://budjetti.vm.fi/indox/sisalto.jsp?year=2016&amp;lang=fi&amp;maindoc=/2016/aky/aky.xml&amp;id=/2016/aky/YksityiskohtaisetPerustelut/29/40/53/53.html" TargetMode="External"/><Relationship Id="rId427" Type="http://schemas.openxmlformats.org/officeDocument/2006/relationships/hyperlink" Target="http://budjetti.vm.fi/indox/sisalto.jsp?year=2016&amp;lang=fi&amp;maindoc=/2016/aky/aky.xml&amp;id=/2016/aky/YksityiskohtaisetPerustelut/30/10/44/44.html" TargetMode="External"/><Relationship Id="rId469" Type="http://schemas.openxmlformats.org/officeDocument/2006/relationships/hyperlink" Target="http://budjetti.vm.fi/indox/sisalto.jsp?year=2016&amp;lang=fi&amp;maindoc=/2016/aky/aky.xml&amp;id=/2016/aky/YksityiskohtaisetPerustelut/30/70/01/01.html" TargetMode="External"/><Relationship Id="rId634" Type="http://schemas.openxmlformats.org/officeDocument/2006/relationships/hyperlink" Target="http://budjetti.vm.fi/indox/sisalto.jsp?year=2016&amp;lang=fi&amp;maindoc=/2016/aky/aky.xml&amp;id=/2016/aky/YksityiskohtaisetPerustelut/33/60/52/52.html" TargetMode="External"/><Relationship Id="rId676" Type="http://schemas.openxmlformats.org/officeDocument/2006/relationships/hyperlink" Target="http://budjetti.vm.fi/indox/sisalto.jsp?year=2016&amp;lang=fi&amp;maindoc=/2016/aky/aky.xml&amp;id=/2016/aky/YksityiskohtaisetPerustelut/36/01/01.html" TargetMode="External"/><Relationship Id="rId26" Type="http://schemas.openxmlformats.org/officeDocument/2006/relationships/hyperlink" Target="http://budjetti.vm.fi/indox/sisalto.jsp?year=2016&amp;lang=fi&amp;maindoc=/2016/aky/aky.xml&amp;id=/2016/aky/YksityiskohtaisetPerustelut/11/19/05/05.html" TargetMode="External"/><Relationship Id="rId231" Type="http://schemas.openxmlformats.org/officeDocument/2006/relationships/hyperlink" Target="http://budjetti.vm.fi/indox/sisalto.jsp?year=2016&amp;lang=fi&amp;maindoc=/2016/aky/aky.xml&amp;id=/2016/aky/YksityiskohtaisetPerustelut/26/30/30.html" TargetMode="External"/><Relationship Id="rId273" Type="http://schemas.openxmlformats.org/officeDocument/2006/relationships/hyperlink" Target="http://budjetti.vm.fi/indox/sisalto.jsp?year=2016&amp;lang=fi&amp;maindoc=/2016/aky/aky.xml&amp;id=/2016/aky/YksityiskohtaisetPerustelut/28/20/10/10.html" TargetMode="External"/><Relationship Id="rId329" Type="http://schemas.openxmlformats.org/officeDocument/2006/relationships/hyperlink" Target="http://budjetti.vm.fi/indox/sisalto.jsp?year=2016&amp;lang=fi&amp;maindoc=/2016/aky/aky.xml&amp;id=/2016/aky/YksityiskohtaisetPerustelut/29/01/01.html" TargetMode="External"/><Relationship Id="rId480" Type="http://schemas.openxmlformats.org/officeDocument/2006/relationships/hyperlink" Target="http://budjetti.vm.fi/indox/sisalto.jsp?year=2016&amp;lang=fi&amp;maindoc=/2016/aky/aky.xml&amp;id=/2016/aky/YksityiskohtaisetPerustelut/31/10/41/41.html" TargetMode="External"/><Relationship Id="rId536" Type="http://schemas.openxmlformats.org/officeDocument/2006/relationships/hyperlink" Target="http://budjetti.vm.fi/indox/sisalto.jsp?year=2016&amp;lang=fi&amp;maindoc=/2016/aky/aky.xml&amp;id=/2016/aky/YksityiskohtaisetPerustelut/32/30/30.html" TargetMode="External"/><Relationship Id="rId68" Type="http://schemas.openxmlformats.org/officeDocument/2006/relationships/hyperlink" Target="http://budjetti.vm.fi/indox/sisalto.jsp?year=2016&amp;lang=fi&amp;maindoc=/2016/aky/aky.xml&amp;id=/2016/aky/YksityiskohtaisetPerustelut/12/30/03/03.html" TargetMode="External"/><Relationship Id="rId133" Type="http://schemas.openxmlformats.org/officeDocument/2006/relationships/hyperlink" Target="http://budjetti.vm.fi/indox/sisalto.jsp?year=2016&amp;lang=fi&amp;maindoc=/2016/aky/aky.xml&amp;id=/2016/aky/YksityiskohtaisetPerustelut/21/30/29/29.html" TargetMode="External"/><Relationship Id="rId175" Type="http://schemas.openxmlformats.org/officeDocument/2006/relationships/hyperlink" Target="http://budjetti.vm.fi/indox/sisalto.jsp?year=2016&amp;lang=fi&amp;maindoc=/2016/aky/aky.xml&amp;id=/2016/aky/YksityiskohtaisetPerustelut/24/10/21/21.html" TargetMode="External"/><Relationship Id="rId340" Type="http://schemas.openxmlformats.org/officeDocument/2006/relationships/hyperlink" Target="http://budjetti.vm.fi/indox/sisalto.jsp?year=2016&amp;lang=fi&amp;maindoc=/2016/aky/aky.xml&amp;id=/2016/aky/YksityiskohtaisetPerustelut/29/01/53/53.html" TargetMode="External"/><Relationship Id="rId578" Type="http://schemas.openxmlformats.org/officeDocument/2006/relationships/hyperlink" Target="http://budjetti.vm.fi/indox/sisalto.jsp?year=2016&amp;lang=fi&amp;maindoc=/2016/aky/aky.xml&amp;id=/2016/aky/YksityiskohtaisetPerustelut/33/02/03/03.html" TargetMode="External"/><Relationship Id="rId200" Type="http://schemas.openxmlformats.org/officeDocument/2006/relationships/hyperlink" Target="http://budjetti.vm.fi/indox/sisalto.jsp?year=2016&amp;lang=fi&amp;maindoc=/2016/aky/aky.xml&amp;id=/2016/aky/YksityiskohtaisetPerustelut/25/10/02/02.html" TargetMode="External"/><Relationship Id="rId382" Type="http://schemas.openxmlformats.org/officeDocument/2006/relationships/hyperlink" Target="http://budjetti.vm.fi/indox/sisalto.jsp?year=2016&amp;lang=fi&amp;maindoc=/2016/aky/aky.xml&amp;id=/2016/aky/YksityiskohtaisetPerustelut/29/80/01/01.html" TargetMode="External"/><Relationship Id="rId438" Type="http://schemas.openxmlformats.org/officeDocument/2006/relationships/hyperlink" Target="http://budjetti.vm.fi/indox/sisalto.jsp?year=2016&amp;lang=fi&amp;maindoc=/2016/aky/aky.xml&amp;id=/2016/aky/YksityiskohtaisetPerustelut/30/20/40/40.html" TargetMode="External"/><Relationship Id="rId603" Type="http://schemas.openxmlformats.org/officeDocument/2006/relationships/hyperlink" Target="http://budjetti.vm.fi/indox/sisalto.jsp?year=2016&amp;lang=fi&amp;maindoc=/2016/aky/aky.xml&amp;id=/2016/aky/YksityiskohtaisetPerustelut/33/20/55/55.html" TargetMode="External"/><Relationship Id="rId645" Type="http://schemas.openxmlformats.org/officeDocument/2006/relationships/hyperlink" Target="http://budjetti.vm.fi/indox/sisalto.jsp?year=2016&amp;lang=fi&amp;maindoc=/2016/aky/aky.xml&amp;id=/2016/aky/YksityiskohtaisetPerustelut/33/80/40/40.html" TargetMode="External"/><Relationship Id="rId242" Type="http://schemas.openxmlformats.org/officeDocument/2006/relationships/hyperlink" Target="http://budjetti.vm.fi/indox/sisalto.jsp?year=2016&amp;lang=fi&amp;maindoc=/2016/aky/aky.xml&amp;id=/2016/aky/YksityiskohtaisetPerustelut/27/01/01.html" TargetMode="External"/><Relationship Id="rId284" Type="http://schemas.openxmlformats.org/officeDocument/2006/relationships/hyperlink" Target="http://budjetti.vm.fi/indox/sisalto.jsp?year=2016&amp;lang=fi&amp;maindoc=/2016/aky/aky.xml&amp;id=/2016/aky/YksityiskohtaisetPerustelut/28/50/50.html" TargetMode="External"/><Relationship Id="rId491" Type="http://schemas.openxmlformats.org/officeDocument/2006/relationships/hyperlink" Target="http://budjetti.vm.fi/indox/sisalto.jsp?year=2016&amp;lang=fi&amp;maindoc=/2016/aky/aky.xml&amp;id=/2016/aky/YksityiskohtaisetPerustelut/31/30/51/51.html" TargetMode="External"/><Relationship Id="rId505" Type="http://schemas.openxmlformats.org/officeDocument/2006/relationships/hyperlink" Target="http://budjetti.vm.fi/indox/sisalto.jsp?year=2016&amp;lang=fi&amp;maindoc=/2016/aky/aky.xml&amp;id=/2016/aky/YksityiskohtaisetPerustelut/32/01/01/01.html" TargetMode="External"/><Relationship Id="rId37" Type="http://schemas.openxmlformats.org/officeDocument/2006/relationships/hyperlink" Target="http://budjetti.vm.fi/indox/sisalto.jsp?year=2016&amp;lang=fi&amp;maindoc=/2016/aky/aky.xml&amp;id=/2016/aky/YksityiskohtaisetPerustelut/12/25/15/15.html" TargetMode="External"/><Relationship Id="rId79" Type="http://schemas.openxmlformats.org/officeDocument/2006/relationships/hyperlink" Target="http://budjetti.vm.fi/indox/sisalto.jsp?year=2016&amp;lang=fi&amp;maindoc=/2016/aky/aky.xml&amp;id=/2016/aky/YksityiskohtaisetPerustelut/12/31/99/99.html" TargetMode="External"/><Relationship Id="rId102" Type="http://schemas.openxmlformats.org/officeDocument/2006/relationships/hyperlink" Target="http://budjetti.vm.fi/indox/sisalto.jsp?year=2016&amp;lang=fi&amp;maindoc=/2016/aky/aky.xml&amp;id=/2016/aky/YksityiskohtaisetPerustelut/13/01/01.html" TargetMode="External"/><Relationship Id="rId144" Type="http://schemas.openxmlformats.org/officeDocument/2006/relationships/hyperlink" Target="http://budjetti.vm.fi/indox/sisalto.jsp?year=2016&amp;lang=fi&amp;maindoc=/2016/aky/aky.xml&amp;id=/2016/aky/YksityiskohtaisetPerustelut/22/02/02.html" TargetMode="External"/><Relationship Id="rId547" Type="http://schemas.openxmlformats.org/officeDocument/2006/relationships/hyperlink" Target="http://budjetti.vm.fi/indox/sisalto.jsp?year=2016&amp;lang=fi&amp;maindoc=/2016/aky/aky.xml&amp;id=/2016/aky/YksityiskohtaisetPerustelut/32/40/50/50.html" TargetMode="External"/><Relationship Id="rId589" Type="http://schemas.openxmlformats.org/officeDocument/2006/relationships/hyperlink" Target="http://budjetti.vm.fi/indox/sisalto.jsp?year=2016&amp;lang=fi&amp;maindoc=/2016/aky/aky.xml&amp;id=/2016/aky/YksityiskohtaisetPerustelut/33/10/10.html" TargetMode="External"/><Relationship Id="rId90" Type="http://schemas.openxmlformats.org/officeDocument/2006/relationships/hyperlink" Target="http://budjetti.vm.fi/indox/sisalto.jsp?year=2016&amp;lang=fi&amp;maindoc=/2016/aky/aky.xml&amp;id=/2016/aky/YksityiskohtaisetPerustelut/12/33/98/98.html" TargetMode="External"/><Relationship Id="rId186" Type="http://schemas.openxmlformats.org/officeDocument/2006/relationships/hyperlink" Target="http://budjetti.vm.fi/indox/sisalto.jsp?year=2016&amp;lang=fi&amp;maindoc=/2016/aky/aky.xml&amp;id=/2016/aky/YksityiskohtaisetPerustelut/24/90/95/95.html" TargetMode="External"/><Relationship Id="rId351" Type="http://schemas.openxmlformats.org/officeDocument/2006/relationships/hyperlink" Target="http://budjetti.vm.fi/indox/sisalto.jsp?year=2016&amp;lang=fi&amp;maindoc=/2016/aky/aky.xml&amp;id=/2016/aky/YksityiskohtaisetPerustelut/29/20/30/30.html" TargetMode="External"/><Relationship Id="rId393" Type="http://schemas.openxmlformats.org/officeDocument/2006/relationships/hyperlink" Target="http://budjetti.vm.fi/indox/sisalto.jsp?year=2016&amp;lang=fi&amp;maindoc=/2016/aky/aky.xml&amp;id=/2016/aky/YksityiskohtaisetPerustelut/29/80/40/40.html" TargetMode="External"/><Relationship Id="rId407" Type="http://schemas.openxmlformats.org/officeDocument/2006/relationships/hyperlink" Target="http://budjetti.vm.fi/indox/sisalto.jsp?year=2016&amp;lang=fi&amp;maindoc=/2016/aky/aky.xml&amp;id=/2016/aky/YksityiskohtaisetPerustelut/29/90/30/30.html" TargetMode="External"/><Relationship Id="rId449" Type="http://schemas.openxmlformats.org/officeDocument/2006/relationships/hyperlink" Target="http://budjetti.vm.fi/indox/sisalto.jsp?year=2016&amp;lang=fi&amp;maindoc=/2016/aky/aky.xml&amp;id=/2016/aky/YksityiskohtaisetPerustelut/30/40/20/20.html" TargetMode="External"/><Relationship Id="rId614" Type="http://schemas.openxmlformats.org/officeDocument/2006/relationships/hyperlink" Target="http://budjetti.vm.fi/indox/sisalto.jsp?year=2016&amp;lang=fi&amp;maindoc=/2016/aky/aky.xml&amp;id=/2016/aky/YksityiskohtaisetPerustelut/33/50/50.html" TargetMode="External"/><Relationship Id="rId656" Type="http://schemas.openxmlformats.org/officeDocument/2006/relationships/hyperlink" Target="http://budjetti.vm.fi/indox/sisalto.jsp?year=2016&amp;lang=fi&amp;maindoc=/2016/aky/aky.xml&amp;id=/2016/aky/YksityiskohtaisetPerustelut/35/01/65/65.html" TargetMode="External"/><Relationship Id="rId211" Type="http://schemas.openxmlformats.org/officeDocument/2006/relationships/hyperlink" Target="http://budjetti.vm.fi/indox/sisalto.jsp?year=2016&amp;lang=fi&amp;maindoc=/2016/aky/aky.xml&amp;id=/2016/aky/YksityiskohtaisetPerustelut/25/50/50.html" TargetMode="External"/><Relationship Id="rId253" Type="http://schemas.openxmlformats.org/officeDocument/2006/relationships/hyperlink" Target="http://budjetti.vm.fi/indox/sisalto.jsp?year=2016&amp;lang=fi&amp;maindoc=/2016/aky/aky.xml&amp;id=/2016/aky/YksityiskohtaisetPerustelut/27/30/95/95.html" TargetMode="External"/><Relationship Id="rId295" Type="http://schemas.openxmlformats.org/officeDocument/2006/relationships/hyperlink" Target="http://budjetti.vm.fi/indox/sisalto.jsp?year=2016&amp;lang=fi&amp;maindoc=/2016/aky/aky.xml&amp;id=/2016/aky/YksityiskohtaisetPerustelut/28/60/60/60.html" TargetMode="External"/><Relationship Id="rId309" Type="http://schemas.openxmlformats.org/officeDocument/2006/relationships/hyperlink" Target="http://budjetti.vm.fi/indox/sisalto.jsp?year=2016&amp;lang=fi&amp;maindoc=/2016/aky/aky.xml&amp;id=/2016/aky/YksityiskohtaisetPerustelut/28/90/22/22.html" TargetMode="External"/><Relationship Id="rId460" Type="http://schemas.openxmlformats.org/officeDocument/2006/relationships/hyperlink" Target="http://budjetti.vm.fi/indox/sisalto.jsp?year=2016&amp;lang=fi&amp;maindoc=/2016/aky/aky.xml&amp;id=/2016/aky/YksityiskohtaisetPerustelut/30/40/51/51.html" TargetMode="External"/><Relationship Id="rId516" Type="http://schemas.openxmlformats.org/officeDocument/2006/relationships/hyperlink" Target="http://budjetti.vm.fi/indox/sisalto.jsp?year=2016&amp;lang=fi&amp;maindoc=/2016/aky/aky.xml&amp;id=/2016/aky/YksityiskohtaisetPerustelut/32/01/88poistettava/88poistettava.html" TargetMode="External"/><Relationship Id="rId48" Type="http://schemas.openxmlformats.org/officeDocument/2006/relationships/hyperlink" Target="http://budjetti.vm.fi/indox/sisalto.jsp?year=2016&amp;lang=fi&amp;maindoc=/2016/aky/aky.xml&amp;id=/2016/aky/YksityiskohtaisetPerustelut/12/28/10/10.html" TargetMode="External"/><Relationship Id="rId113" Type="http://schemas.openxmlformats.org/officeDocument/2006/relationships/hyperlink" Target="http://budjetti.vm.fi/indox/sisalto.jsp?year=2016&amp;lang=fi&amp;maindoc=/2016/aky/aky.xml&amp;id=/2016/aky/YksityiskohtaisetPerustelut/15/15.html" TargetMode="External"/><Relationship Id="rId320" Type="http://schemas.openxmlformats.org/officeDocument/2006/relationships/hyperlink" Target="http://budjetti.vm.fi/indox/sisalto.jsp?year=2016&amp;lang=fi&amp;maindoc=/2016/aky/aky.xml&amp;id=/2016/aky/YksityiskohtaisetPerustelut/28/92/69/69.html" TargetMode="External"/><Relationship Id="rId558" Type="http://schemas.openxmlformats.org/officeDocument/2006/relationships/hyperlink" Target="http://budjetti.vm.fi/indox/sisalto.jsp?year=2016&amp;lang=fi&amp;maindoc=/2016/aky/aky.xml&amp;id=/2016/aky/YksityiskohtaisetPerustelut/32/60/42/42.html" TargetMode="External"/><Relationship Id="rId155" Type="http://schemas.openxmlformats.org/officeDocument/2006/relationships/hyperlink" Target="http://budjetti.vm.fi/indox/sisalto.jsp?year=2016&amp;lang=fi&amp;maindoc=/2016/aky/aky.xml&amp;id=/2016/aky/YksityiskohtaisetPerustelut/23/01/23/23.html" TargetMode="External"/><Relationship Id="rId197" Type="http://schemas.openxmlformats.org/officeDocument/2006/relationships/hyperlink" Target="http://budjetti.vm.fi/indox/sisalto.jsp?year=2016&amp;lang=fi&amp;maindoc=/2016/aky/aky.xml&amp;id=/2016/aky/YksityiskohtaisetPerustelut/25/01/51/51.html" TargetMode="External"/><Relationship Id="rId362" Type="http://schemas.openxmlformats.org/officeDocument/2006/relationships/hyperlink" Target="http://budjetti.vm.fi/indox/sisalto.jsp?year=2016&amp;lang=fi&amp;maindoc=/2016/aky/aky.xml&amp;id=/2016/aky/YksityiskohtaisetPerustelut/29/40/01/01.html" TargetMode="External"/><Relationship Id="rId418" Type="http://schemas.openxmlformats.org/officeDocument/2006/relationships/hyperlink" Target="http://budjetti.vm.fi/indox/sisalto.jsp?year=2016&amp;lang=fi&amp;maindoc=/2016/aky/aky.xml&amp;id=/2016/aky/YksityiskohtaisetPerustelut/30/01/21poistettava/21poistettava.html" TargetMode="External"/><Relationship Id="rId625" Type="http://schemas.openxmlformats.org/officeDocument/2006/relationships/hyperlink" Target="http://budjetti.vm.fi/indox/sisalto.jsp?year=2016&amp;lang=fi&amp;maindoc=/2016/aky/aky.xml&amp;id=/2016/aky/YksityiskohtaisetPerustelut/33/60/30/30.html" TargetMode="External"/><Relationship Id="rId222" Type="http://schemas.openxmlformats.org/officeDocument/2006/relationships/hyperlink" Target="http://budjetti.vm.fi/indox/sisalto.jsp?year=2016&amp;lang=fi&amp;maindoc=/2016/aky/aky.xml&amp;id=/2016/aky/YksityiskohtaisetPerustelut/26/01/66/66.html" TargetMode="External"/><Relationship Id="rId264" Type="http://schemas.openxmlformats.org/officeDocument/2006/relationships/hyperlink" Target="http://budjetti.vm.fi/indox/sisalto.jsp?year=2016&amp;lang=fi&amp;maindoc=/2016/aky/aky.xml&amp;id=/2016/aky/YksityiskohtaisetPerustelut/28/10/95/95.html" TargetMode="External"/><Relationship Id="rId471" Type="http://schemas.openxmlformats.org/officeDocument/2006/relationships/hyperlink" Target="http://budjetti.vm.fi/indox/sisalto.jsp?year=2016&amp;lang=fi&amp;maindoc=/2016/aky/aky.xml&amp;id=/2016/aky/YksityiskohtaisetPerustelut/31/31.html" TargetMode="External"/><Relationship Id="rId667" Type="http://schemas.openxmlformats.org/officeDocument/2006/relationships/hyperlink" Target="http://budjetti.vm.fi/indox/sisalto.jsp?year=2016&amp;lang=fi&amp;maindoc=/2016/aky/aky.xml&amp;id=/2016/aky/YksityiskohtaisetPerustelut/35/10/66/66.html" TargetMode="External"/><Relationship Id="rId17" Type="http://schemas.openxmlformats.org/officeDocument/2006/relationships/hyperlink" Target="http://budjetti.vm.fi/indox/sisalto.jsp?year=2016&amp;lang=fi&amp;maindoc=/2016/aky/aky.xml&amp;id=/2016/aky/YksityiskohtaisetPerustelut/11/10/10.html" TargetMode="External"/><Relationship Id="rId59" Type="http://schemas.openxmlformats.org/officeDocument/2006/relationships/hyperlink" Target="http://budjetti.vm.fi/indox/sisalto.jsp?year=2016&amp;lang=fi&amp;maindoc=/2016/aky/aky.xml&amp;id=/2016/aky/YksityiskohtaisetPerustelut/12/28/93/93.html" TargetMode="External"/><Relationship Id="rId124" Type="http://schemas.openxmlformats.org/officeDocument/2006/relationships/hyperlink" Target="http://budjetti.vm.fi/indox/sisalto.jsp?year=2016&amp;lang=fi&amp;maindoc=/2016/aky/aky.xml&amp;id=/2016/aky/YksityiskohtaisetPerustelut/21/10/02/02.html" TargetMode="External"/><Relationship Id="rId527" Type="http://schemas.openxmlformats.org/officeDocument/2006/relationships/hyperlink" Target="http://budjetti.vm.fi/indox/sisalto.jsp?year=2016&amp;lang=fi&amp;maindoc=/2016/aky/aky.xml&amp;id=/2016/aky/YksityiskohtaisetPerustelut/32/20/48/48.html" TargetMode="External"/><Relationship Id="rId569" Type="http://schemas.openxmlformats.org/officeDocument/2006/relationships/hyperlink" Target="http://budjetti.vm.fi/indox/sisalto.jsp?year=2016&amp;lang=fi&amp;maindoc=/2016/aky/aky.xml&amp;id=/2016/aky/YksityiskohtaisetPerustelut/33/01/02/02.html" TargetMode="External"/><Relationship Id="rId70" Type="http://schemas.openxmlformats.org/officeDocument/2006/relationships/hyperlink" Target="http://budjetti.vm.fi/indox/sisalto.jsp?year=2016&amp;lang=fi&amp;maindoc=/2016/aky/aky.xml&amp;id=/2016/aky/YksityiskohtaisetPerustelut/12/30/20/20.html" TargetMode="External"/><Relationship Id="rId166" Type="http://schemas.openxmlformats.org/officeDocument/2006/relationships/hyperlink" Target="http://budjetti.vm.fi/indox/sisalto.jsp?year=2016&amp;lang=fi&amp;maindoc=/2016/aky/aky.xml&amp;id=/2016/aky/YksityiskohtaisetPerustelut/24/24.html" TargetMode="External"/><Relationship Id="rId331" Type="http://schemas.openxmlformats.org/officeDocument/2006/relationships/hyperlink" Target="http://budjetti.vm.fi/indox/sisalto.jsp?year=2016&amp;lang=fi&amp;maindoc=/2016/aky/aky.xml&amp;id=/2016/aky/YksityiskohtaisetPerustelut/29/01/02/02.html" TargetMode="External"/><Relationship Id="rId373" Type="http://schemas.openxmlformats.org/officeDocument/2006/relationships/hyperlink" Target="http://budjetti.vm.fi/indox/sisalto.jsp?year=2016&amp;lang=fi&amp;maindoc=/2016/aky/aky.xml&amp;id=/2016/aky/YksityiskohtaisetPerustelut/29/40/55/55.html" TargetMode="External"/><Relationship Id="rId429" Type="http://schemas.openxmlformats.org/officeDocument/2006/relationships/hyperlink" Target="http://budjetti.vm.fi/indox/sisalto.jsp?year=2016&amp;lang=fi&amp;maindoc=/2016/aky/aky.xml&amp;id=/2016/aky/YksityiskohtaisetPerustelut/30/10/51/51.html" TargetMode="External"/><Relationship Id="rId580" Type="http://schemas.openxmlformats.org/officeDocument/2006/relationships/hyperlink" Target="http://budjetti.vm.fi/indox/sisalto.jsp?year=2016&amp;lang=fi&amp;maindoc=/2016/aky/aky.xml&amp;id=/2016/aky/YksityiskohtaisetPerustelut/33/02/06/06.html" TargetMode="External"/><Relationship Id="rId636" Type="http://schemas.openxmlformats.org/officeDocument/2006/relationships/hyperlink" Target="http://budjetti.vm.fi/indox/sisalto.jsp?year=2016&amp;lang=fi&amp;maindoc=/2016/aky/aky.xml&amp;id=/2016/aky/YksityiskohtaisetPerustelut/33/60/64/64.html" TargetMode="External"/><Relationship Id="rId1" Type="http://schemas.openxmlformats.org/officeDocument/2006/relationships/hyperlink" Target="http://budjetti.vm.fi/indox/sisalto.jsp?year=2016&amp;lang=fi&amp;maindoc=/2016/aky/aky.xml&amp;id=/2016/aky/YksityiskohtaisetPerustelut/11/11.html" TargetMode="External"/><Relationship Id="rId233" Type="http://schemas.openxmlformats.org/officeDocument/2006/relationships/hyperlink" Target="http://budjetti.vm.fi/indox/sisalto.jsp?year=2016&amp;lang=fi&amp;maindoc=/2016/aky/aky.xml&amp;id=/2016/aky/YksityiskohtaisetPerustelut/26/30/02/02.html" TargetMode="External"/><Relationship Id="rId440" Type="http://schemas.openxmlformats.org/officeDocument/2006/relationships/hyperlink" Target="http://budjetti.vm.fi/indox/sisalto.jsp?year=2016&amp;lang=fi&amp;maindoc=/2016/aky/aky.xml&amp;id=/2016/aky/YksityiskohtaisetPerustelut/30/20/42/42.html" TargetMode="External"/><Relationship Id="rId678" Type="http://schemas.openxmlformats.org/officeDocument/2006/relationships/hyperlink" Target="http://budjetti.vm.fi/indox/sisalto.jsp?year=2016&amp;lang=fi&amp;maindoc=/2016/aky/aky.xml&amp;id=/2016/aky/YksityiskohtaisetPerustelut/36/09/09.html" TargetMode="External"/><Relationship Id="rId28" Type="http://schemas.openxmlformats.org/officeDocument/2006/relationships/hyperlink" Target="http://budjetti.vm.fi/indox/sisalto.jsp?year=2016&amp;lang=fi&amp;maindoc=/2016/aky/aky.xml&amp;id=/2016/aky/YksityiskohtaisetPerustelut/11/19/08/08.html" TargetMode="External"/><Relationship Id="rId275" Type="http://schemas.openxmlformats.org/officeDocument/2006/relationships/hyperlink" Target="http://budjetti.vm.fi/indox/sisalto.jsp?year=2016&amp;lang=fi&amp;maindoc=/2016/aky/aky.xml&amp;id=/2016/aky/YksityiskohtaisetPerustelut/28/20/88/88.html" TargetMode="External"/><Relationship Id="rId300" Type="http://schemas.openxmlformats.org/officeDocument/2006/relationships/hyperlink" Target="http://budjetti.vm.fi/indox/sisalto.jsp?year=2016&amp;lang=fi&amp;maindoc=/2016/aky/aky.xml&amp;id=/2016/aky/YksityiskohtaisetPerustelut/28/70/20/20.html" TargetMode="External"/><Relationship Id="rId482" Type="http://schemas.openxmlformats.org/officeDocument/2006/relationships/hyperlink" Target="http://budjetti.vm.fi/indox/sisalto.jsp?year=2016&amp;lang=fi&amp;maindoc=/2016/aky/aky.xml&amp;id=/2016/aky/YksityiskohtaisetPerustelut/31/10/76/76.html" TargetMode="External"/><Relationship Id="rId538" Type="http://schemas.openxmlformats.org/officeDocument/2006/relationships/hyperlink" Target="http://budjetti.vm.fi/indox/sisalto.jsp?year=2016&amp;lang=fi&amp;maindoc=/2016/aky/aky.xml&amp;id=/2016/aky/YksityiskohtaisetPerustelut/32/30/44/44.html" TargetMode="External"/><Relationship Id="rId81" Type="http://schemas.openxmlformats.org/officeDocument/2006/relationships/hyperlink" Target="http://budjetti.vm.fi/indox/sisalto.jsp?year=2016&amp;lang=fi&amp;maindoc=/2016/aky/aky.xml&amp;id=/2016/aky/YksityiskohtaisetPerustelut/12/32/20/20.html" TargetMode="External"/><Relationship Id="rId135" Type="http://schemas.openxmlformats.org/officeDocument/2006/relationships/hyperlink" Target="http://budjetti.vm.fi/indox/sisalto.jsp?year=2016&amp;lang=fi&amp;maindoc=/2016/aky/aky.xml&amp;id=/2016/aky/YksityiskohtaisetPerustelut/21/40/01/01.html" TargetMode="External"/><Relationship Id="rId177" Type="http://schemas.openxmlformats.org/officeDocument/2006/relationships/hyperlink" Target="http://budjetti.vm.fi/indox/sisalto.jsp?year=2016&amp;lang=fi&amp;maindoc=/2016/aky/aky.xml&amp;id=/2016/aky/YksityiskohtaisetPerustelut/24/30/50/50.html" TargetMode="External"/><Relationship Id="rId342" Type="http://schemas.openxmlformats.org/officeDocument/2006/relationships/hyperlink" Target="http://budjetti.vm.fi/indox/sisalto.jsp?year=2016&amp;lang=fi&amp;maindoc=/2016/aky/aky.xml&amp;id=/2016/aky/YksityiskohtaisetPerustelut/29/10/10.html" TargetMode="External"/><Relationship Id="rId384" Type="http://schemas.openxmlformats.org/officeDocument/2006/relationships/hyperlink" Target="http://budjetti.vm.fi/indox/sisalto.jsp?year=2016&amp;lang=fi&amp;maindoc=/2016/aky/aky.xml&amp;id=/2016/aky/YksityiskohtaisetPerustelut/29/80/04/04.html" TargetMode="External"/><Relationship Id="rId591" Type="http://schemas.openxmlformats.org/officeDocument/2006/relationships/hyperlink" Target="http://budjetti.vm.fi/indox/sisalto.jsp?year=2016&amp;lang=fi&amp;maindoc=/2016/aky/aky.xml&amp;id=/2016/aky/YksityiskohtaisetPerustelut/33/10/51/51.html" TargetMode="External"/><Relationship Id="rId605" Type="http://schemas.openxmlformats.org/officeDocument/2006/relationships/hyperlink" Target="http://budjetti.vm.fi/indox/sisalto.jsp?year=2016&amp;lang=fi&amp;maindoc=/2016/aky/aky.xml&amp;id=/2016/aky/YksityiskohtaisetPerustelut/33/30/30.html" TargetMode="External"/><Relationship Id="rId202" Type="http://schemas.openxmlformats.org/officeDocument/2006/relationships/hyperlink" Target="http://budjetti.vm.fi/indox/sisalto.jsp?year=2016&amp;lang=fi&amp;maindoc=/2016/aky/aky.xml&amp;id=/2016/aky/YksityiskohtaisetPerustelut/25/10/04/04.html" TargetMode="External"/><Relationship Id="rId244" Type="http://schemas.openxmlformats.org/officeDocument/2006/relationships/hyperlink" Target="http://budjetti.vm.fi/indox/sisalto.jsp?year=2016&amp;lang=fi&amp;maindoc=/2016/aky/aky.xml&amp;id=/2016/aky/YksityiskohtaisetPerustelut/27/01/21/21.html" TargetMode="External"/><Relationship Id="rId647" Type="http://schemas.openxmlformats.org/officeDocument/2006/relationships/hyperlink" Target="http://budjetti.vm.fi/indox/sisalto.jsp?year=2016&amp;lang=fi&amp;maindoc=/2016/aky/aky.xml&amp;id=/2016/aky/YksityiskohtaisetPerustelut/33/80/42/42.html" TargetMode="External"/><Relationship Id="rId39" Type="http://schemas.openxmlformats.org/officeDocument/2006/relationships/hyperlink" Target="http://budjetti.vm.fi/indox/sisalto.jsp?year=2016&amp;lang=fi&amp;maindoc=/2016/aky/aky.xml&amp;id=/2016/aky/YksityiskohtaisetPerustelut/12/25/99/99.html" TargetMode="External"/><Relationship Id="rId286" Type="http://schemas.openxmlformats.org/officeDocument/2006/relationships/hyperlink" Target="http://budjetti.vm.fi/indox/sisalto.jsp?year=2016&amp;lang=fi&amp;maindoc=/2016/aky/aky.xml&amp;id=/2016/aky/YksityiskohtaisetPerustelut/28/50/16/16.html" TargetMode="External"/><Relationship Id="rId451" Type="http://schemas.openxmlformats.org/officeDocument/2006/relationships/hyperlink" Target="http://budjetti.vm.fi/indox/sisalto.jsp?year=2016&amp;lang=fi&amp;maindoc=/2016/aky/aky.xml&amp;id=/2016/aky/YksityiskohtaisetPerustelut/30/40/22/22.html" TargetMode="External"/><Relationship Id="rId493" Type="http://schemas.openxmlformats.org/officeDocument/2006/relationships/hyperlink" Target="http://budjetti.vm.fi/indox/sisalto.jsp?year=2016&amp;lang=fi&amp;maindoc=/2016/aky/aky.xml&amp;id=/2016/aky/YksityiskohtaisetPerustelut/31/30/64/64.html" TargetMode="External"/><Relationship Id="rId507" Type="http://schemas.openxmlformats.org/officeDocument/2006/relationships/hyperlink" Target="http://budjetti.vm.fi/indox/sisalto.jsp?year=2016&amp;lang=fi&amp;maindoc=/2016/aky/aky.xml&amp;id=/2016/aky/YksityiskohtaisetPerustelut/32/01/20/20.html" TargetMode="External"/><Relationship Id="rId549" Type="http://schemas.openxmlformats.org/officeDocument/2006/relationships/hyperlink" Target="http://budjetti.vm.fi/indox/sisalto.jsp?year=2016&amp;lang=fi&amp;maindoc=/2016/aky/aky.xml&amp;id=/2016/aky/YksityiskohtaisetPerustelut/32/40/52/52.html" TargetMode="External"/><Relationship Id="rId50" Type="http://schemas.openxmlformats.org/officeDocument/2006/relationships/hyperlink" Target="http://budjetti.vm.fi/indox/sisalto.jsp?year=2016&amp;lang=fi&amp;maindoc=/2016/aky/aky.xml&amp;id=/2016/aky/YksityiskohtaisetPerustelut/12/28/12/12.html" TargetMode="External"/><Relationship Id="rId104" Type="http://schemas.openxmlformats.org/officeDocument/2006/relationships/hyperlink" Target="http://budjetti.vm.fi/indox/sisalto.jsp?year=2016&amp;lang=fi&amp;maindoc=/2016/aky/aky.xml&amp;id=/2016/aky/YksityiskohtaisetPerustelut/13/01/05/05.html" TargetMode="External"/><Relationship Id="rId146" Type="http://schemas.openxmlformats.org/officeDocument/2006/relationships/hyperlink" Target="http://budjetti.vm.fi/indox/sisalto.jsp?year=2016&amp;lang=fi&amp;maindoc=/2016/aky/aky.xml&amp;id=/2016/aky/YksityiskohtaisetPerustelut/22/02/02/02.html" TargetMode="External"/><Relationship Id="rId188" Type="http://schemas.openxmlformats.org/officeDocument/2006/relationships/hyperlink" Target="http://budjetti.vm.fi/indox/sisalto.jsp?year=2016&amp;lang=fi&amp;maindoc=/2016/aky/aky.xml&amp;id=/2016/aky/YksityiskohtaisetPerustelut/25/01/01.html" TargetMode="External"/><Relationship Id="rId311" Type="http://schemas.openxmlformats.org/officeDocument/2006/relationships/hyperlink" Target="http://budjetti.vm.fi/indox/sisalto.jsp?year=2016&amp;lang=fi&amp;maindoc=/2016/aky/aky.xml&amp;id=/2016/aky/YksityiskohtaisetPerustelut/28/90/31/31.html" TargetMode="External"/><Relationship Id="rId353" Type="http://schemas.openxmlformats.org/officeDocument/2006/relationships/hyperlink" Target="http://budjetti.vm.fi/indox/sisalto.jsp?year=2016&amp;lang=fi&amp;maindoc=/2016/aky/aky.xml&amp;id=/2016/aky/YksityiskohtaisetPerustelut/29/30/20/20.html" TargetMode="External"/><Relationship Id="rId395" Type="http://schemas.openxmlformats.org/officeDocument/2006/relationships/hyperlink" Target="http://budjetti.vm.fi/indox/sisalto.jsp?year=2016&amp;lang=fi&amp;maindoc=/2016/aky/aky.xml&amp;id=/2016/aky/YksityiskohtaisetPerustelut/29/80/50/50.html" TargetMode="External"/><Relationship Id="rId409" Type="http://schemas.openxmlformats.org/officeDocument/2006/relationships/hyperlink" Target="http://budjetti.vm.fi/indox/sisalto.jsp?year=2016&amp;lang=fi&amp;maindoc=/2016/aky/aky.xml&amp;id=/2016/aky/YksityiskohtaisetPerustelut/29/90/52/52.html" TargetMode="External"/><Relationship Id="rId560" Type="http://schemas.openxmlformats.org/officeDocument/2006/relationships/hyperlink" Target="http://budjetti.vm.fi/indox/sisalto.jsp?year=2016&amp;lang=fi&amp;maindoc=/2016/aky/aky.xml&amp;id=/2016/aky/YksityiskohtaisetPerustelut/32/60/44/44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6"/>
  <sheetViews>
    <sheetView zoomScaleNormal="100" workbookViewId="0">
      <selection activeCell="AD29" sqref="AC29:AD29"/>
    </sheetView>
  </sheetViews>
  <sheetFormatPr defaultRowHeight="14.4" x14ac:dyDescent="0.3"/>
  <cols>
    <col min="1" max="1" width="2.6640625" style="161" customWidth="1"/>
    <col min="2" max="2" width="3.6640625" style="161" customWidth="1"/>
    <col min="3" max="3" width="83.44140625" style="161" customWidth="1"/>
    <col min="4" max="4" width="8.88671875" style="161" hidden="1" customWidth="1"/>
    <col min="5" max="5" width="17.88671875" style="162" hidden="1" customWidth="1"/>
    <col min="6" max="6" width="21" style="171" hidden="1" customWidth="1"/>
    <col min="7" max="7" width="5" style="54" hidden="1" customWidth="1"/>
    <col min="8" max="8" width="6.6640625" style="385" customWidth="1"/>
    <col min="9" max="9" width="21.5546875" style="171" bestFit="1" customWidth="1"/>
    <col min="10" max="10" width="11.33203125" style="175" hidden="1" customWidth="1"/>
    <col min="11" max="11" width="15.33203125" hidden="1" customWidth="1"/>
    <col min="12" max="12" width="11.6640625" hidden="1" customWidth="1"/>
    <col min="13" max="13" width="9.33203125" hidden="1" customWidth="1"/>
    <col min="14" max="14" width="11.33203125" hidden="1" customWidth="1"/>
    <col min="15" max="15" width="19" hidden="1" customWidth="1"/>
    <col min="16" max="20" width="0" hidden="1" customWidth="1"/>
    <col min="21" max="21" width="2.6640625" style="161" customWidth="1"/>
    <col min="22" max="22" width="3.6640625" style="161" customWidth="1"/>
    <col min="23" max="23" width="57.33203125" style="161" customWidth="1"/>
    <col min="24" max="24" width="8.88671875" style="161" hidden="1" customWidth="1"/>
    <col min="25" max="25" width="17.88671875" style="162" hidden="1" customWidth="1"/>
    <col min="26" max="26" width="21" style="171" hidden="1" customWidth="1"/>
    <col min="27" max="27" width="10.6640625" style="54" hidden="1" customWidth="1"/>
    <col min="28" max="28" width="6.6640625" style="54" hidden="1" customWidth="1"/>
    <col min="29" max="29" width="21" style="171" customWidth="1"/>
  </cols>
  <sheetData>
    <row r="1" spans="1:29" s="39" customFormat="1" ht="18" x14ac:dyDescent="0.35">
      <c r="A1" s="158"/>
      <c r="B1" s="176" t="s">
        <v>15</v>
      </c>
      <c r="C1" s="176"/>
      <c r="D1" s="176"/>
      <c r="E1" s="177"/>
      <c r="F1" s="178">
        <f>F2+F33+F102+F119</f>
        <v>55041643000</v>
      </c>
      <c r="G1" s="179"/>
      <c r="H1" s="383"/>
      <c r="I1" s="178">
        <f>I2+I33+I102+I119</f>
        <v>32352135000</v>
      </c>
      <c r="J1" s="300"/>
      <c r="K1" s="39" t="s">
        <v>964</v>
      </c>
      <c r="U1" s="158"/>
      <c r="V1" s="404" t="s">
        <v>976</v>
      </c>
      <c r="W1" s="404"/>
      <c r="X1" s="404"/>
      <c r="Y1" s="405"/>
      <c r="Z1" s="406">
        <f>Z2+Z3+Z4+Z104</f>
        <v>55041643000</v>
      </c>
      <c r="AA1" s="407"/>
      <c r="AB1" s="407"/>
      <c r="AC1" s="406">
        <f>I1</f>
        <v>32352135000</v>
      </c>
    </row>
    <row r="2" spans="1:29" s="39" customFormat="1" ht="18" x14ac:dyDescent="0.35">
      <c r="A2" s="158"/>
      <c r="B2" s="180" t="s">
        <v>16</v>
      </c>
      <c r="C2" s="180"/>
      <c r="D2" s="180"/>
      <c r="E2" s="181">
        <v>41541502</v>
      </c>
      <c r="F2" s="182">
        <f t="shared" ref="F2:F32" si="0">E2*1000</f>
        <v>41541502000</v>
      </c>
      <c r="G2" s="183"/>
      <c r="H2" s="384"/>
      <c r="I2" s="182">
        <f>I3+I8+I12+I18+I24</f>
        <v>28882090000</v>
      </c>
      <c r="J2" s="301"/>
      <c r="N2" s="39" t="str">
        <f>B2</f>
        <v>11. VEROT JA VERONLUONTEISET TULOT</v>
      </c>
      <c r="U2" s="158"/>
      <c r="V2" s="401" t="s">
        <v>16</v>
      </c>
      <c r="W2" s="401"/>
      <c r="X2" s="401"/>
      <c r="Y2" s="402">
        <v>41541502</v>
      </c>
      <c r="Z2" s="403">
        <f t="shared" ref="Z2:Z32" si="1">Y2*1000</f>
        <v>41541502000</v>
      </c>
      <c r="AA2" s="353"/>
      <c r="AB2" s="353"/>
      <c r="AC2" s="403">
        <f>I2</f>
        <v>28882090000</v>
      </c>
    </row>
    <row r="3" spans="1:29" s="2" customFormat="1" x14ac:dyDescent="0.3">
      <c r="A3" s="158"/>
      <c r="B3" s="158" t="s">
        <v>17</v>
      </c>
      <c r="C3" s="158"/>
      <c r="D3" s="158"/>
      <c r="E3" s="159">
        <v>13339000</v>
      </c>
      <c r="F3" s="170">
        <f t="shared" si="0"/>
        <v>13339000000</v>
      </c>
      <c r="G3" s="54"/>
      <c r="H3" s="385"/>
      <c r="I3" s="170">
        <f>SUM(I4:I7)</f>
        <v>2950199999.9999995</v>
      </c>
      <c r="J3" s="174"/>
      <c r="N3" s="2" t="str">
        <f>C5</f>
        <v>02. Yhteisövero</v>
      </c>
      <c r="U3" s="158"/>
      <c r="V3" s="401" t="s">
        <v>47</v>
      </c>
      <c r="W3" s="401"/>
      <c r="X3" s="401"/>
      <c r="Y3" s="402">
        <v>5426158</v>
      </c>
      <c r="Z3" s="403">
        <f>Y3*1000</f>
        <v>5426158000</v>
      </c>
      <c r="AA3" s="353"/>
      <c r="AB3" s="353"/>
      <c r="AC3" s="403">
        <f>I33</f>
        <v>1691693000</v>
      </c>
    </row>
    <row r="4" spans="1:29" s="28" customFormat="1" x14ac:dyDescent="0.3">
      <c r="A4" s="161"/>
      <c r="B4" s="161"/>
      <c r="C4" s="161" t="s">
        <v>18</v>
      </c>
      <c r="D4" s="161"/>
      <c r="E4" s="162">
        <v>9480000</v>
      </c>
      <c r="F4" s="171">
        <f t="shared" si="0"/>
        <v>9480000000</v>
      </c>
      <c r="G4" s="54">
        <v>0.3</v>
      </c>
      <c r="H4" s="385">
        <v>0</v>
      </c>
      <c r="I4" s="171">
        <f>(H4/G4)*F4</f>
        <v>0</v>
      </c>
      <c r="J4" s="7">
        <f>(H4-G4)/G4</f>
        <v>-1</v>
      </c>
      <c r="K4" s="175" t="s">
        <v>859</v>
      </c>
      <c r="L4" s="28">
        <f>Ihmismäärät!C25</f>
        <v>1943016</v>
      </c>
      <c r="M4" s="28">
        <v>1000</v>
      </c>
      <c r="O4" s="273">
        <f>L4*M4*H4*12</f>
        <v>0</v>
      </c>
      <c r="U4" s="161"/>
      <c r="V4" s="401" t="s">
        <v>116</v>
      </c>
      <c r="W4" s="401"/>
      <c r="X4" s="401"/>
      <c r="Y4" s="402">
        <v>1646952</v>
      </c>
      <c r="Z4" s="403">
        <f>Y4*1000</f>
        <v>1646952000</v>
      </c>
      <c r="AA4" s="353"/>
      <c r="AB4" s="353"/>
      <c r="AC4" s="403">
        <f>I102</f>
        <v>1380352000</v>
      </c>
    </row>
    <row r="5" spans="1:29" s="28" customFormat="1" x14ac:dyDescent="0.3">
      <c r="A5" s="161"/>
      <c r="B5" s="161"/>
      <c r="C5" s="161" t="s">
        <v>19</v>
      </c>
      <c r="D5" s="161"/>
      <c r="E5" s="162">
        <v>3278000</v>
      </c>
      <c r="F5" s="171">
        <f t="shared" si="0"/>
        <v>3278000000</v>
      </c>
      <c r="G5" s="54">
        <v>0.2</v>
      </c>
      <c r="H5" s="386">
        <v>0.18</v>
      </c>
      <c r="I5" s="171">
        <f>(H5/G5)*F5</f>
        <v>2950199999.9999995</v>
      </c>
      <c r="J5" s="7">
        <f>(H5-G5)/G5</f>
        <v>-0.10000000000000009</v>
      </c>
      <c r="K5" s="175" t="s">
        <v>859</v>
      </c>
      <c r="L5" s="28" t="e">
        <f>#REF!</f>
        <v>#REF!</v>
      </c>
      <c r="M5" s="28">
        <v>3500</v>
      </c>
      <c r="N5" s="28" t="str">
        <f>C9</f>
        <v>01. Arvonlisävero</v>
      </c>
      <c r="O5" s="273" t="e">
        <f>L5*M5*H4*12</f>
        <v>#REF!</v>
      </c>
      <c r="U5" s="161"/>
      <c r="V5" s="401" t="s">
        <v>128</v>
      </c>
      <c r="W5" s="401"/>
      <c r="X5" s="401"/>
      <c r="Y5" s="402">
        <v>6427031</v>
      </c>
      <c r="Z5" s="403">
        <f>Y5*1000</f>
        <v>6427031000</v>
      </c>
      <c r="AA5" s="353"/>
      <c r="AB5" s="353"/>
      <c r="AC5" s="403">
        <f>I119</f>
        <v>398000000</v>
      </c>
    </row>
    <row r="6" spans="1:29" s="28" customFormat="1" hidden="1" x14ac:dyDescent="0.3">
      <c r="A6" s="161"/>
      <c r="B6" s="161"/>
      <c r="C6" s="161" t="s">
        <v>20</v>
      </c>
      <c r="D6" s="161"/>
      <c r="E6" s="162">
        <v>91000</v>
      </c>
      <c r="F6" s="171">
        <f t="shared" si="0"/>
        <v>91000000</v>
      </c>
      <c r="G6" s="54"/>
      <c r="H6" s="385"/>
      <c r="I6" s="171"/>
      <c r="J6" s="7" t="e">
        <f t="shared" ref="J6:J9" si="2">(H6-G6)/G6</f>
        <v>#DIV/0!</v>
      </c>
      <c r="K6" s="175" t="s">
        <v>859</v>
      </c>
      <c r="U6" s="161"/>
      <c r="V6" s="161"/>
      <c r="W6" s="161"/>
      <c r="X6" s="161"/>
      <c r="Y6" s="162"/>
      <c r="Z6" s="171"/>
      <c r="AA6" s="54"/>
      <c r="AB6" s="54"/>
      <c r="AC6" s="171"/>
    </row>
    <row r="7" spans="1:29" s="28" customFormat="1" hidden="1" x14ac:dyDescent="0.3">
      <c r="A7" s="161"/>
      <c r="B7" s="161"/>
      <c r="C7" s="161" t="s">
        <v>21</v>
      </c>
      <c r="D7" s="161"/>
      <c r="E7" s="162">
        <v>490000</v>
      </c>
      <c r="F7" s="171">
        <f t="shared" si="0"/>
        <v>490000000</v>
      </c>
      <c r="G7" s="54"/>
      <c r="H7" s="385"/>
      <c r="I7" s="171"/>
      <c r="J7" s="7" t="e">
        <f t="shared" si="2"/>
        <v>#DIV/0!</v>
      </c>
      <c r="K7" s="175" t="s">
        <v>859</v>
      </c>
      <c r="U7" s="161"/>
      <c r="V7" s="161"/>
      <c r="W7" s="161"/>
      <c r="X7" s="161"/>
      <c r="Y7" s="162"/>
      <c r="Z7" s="171"/>
      <c r="AA7" s="54"/>
      <c r="AB7" s="54"/>
      <c r="AC7" s="171"/>
    </row>
    <row r="8" spans="1:29" s="2" customFormat="1" x14ac:dyDescent="0.3">
      <c r="A8" s="158"/>
      <c r="B8" s="158" t="s">
        <v>22</v>
      </c>
      <c r="C8" s="158"/>
      <c r="D8" s="158"/>
      <c r="E8" s="159">
        <v>17970800</v>
      </c>
      <c r="F8" s="170">
        <f t="shared" si="0"/>
        <v>17970800000</v>
      </c>
      <c r="G8" s="54"/>
      <c r="H8" s="385"/>
      <c r="I8" s="170">
        <f>SUM(I9:I11)</f>
        <v>17009000000</v>
      </c>
      <c r="J8" s="174"/>
      <c r="K8" s="2">
        <f>(I8/Ihmismäärät!C14)/12</f>
        <v>258.55831205156272</v>
      </c>
      <c r="O8" s="274" t="e">
        <f>SUM(O4:O7)</f>
        <v>#REF!</v>
      </c>
      <c r="U8" s="158"/>
      <c r="V8" s="158"/>
      <c r="W8" s="158"/>
      <c r="X8" s="158"/>
      <c r="Y8" s="159"/>
      <c r="Z8" s="170"/>
      <c r="AA8" s="54"/>
      <c r="AB8" s="54"/>
      <c r="AC8" s="170"/>
    </row>
    <row r="9" spans="1:29" s="28" customFormat="1" x14ac:dyDescent="0.3">
      <c r="A9" s="161"/>
      <c r="B9" s="161"/>
      <c r="C9" s="161" t="s">
        <v>23</v>
      </c>
      <c r="D9" s="161"/>
      <c r="E9" s="162">
        <v>17009000</v>
      </c>
      <c r="F9" s="171">
        <f t="shared" si="0"/>
        <v>17009000000</v>
      </c>
      <c r="G9" s="54">
        <v>0.24</v>
      </c>
      <c r="H9" s="385">
        <v>0.24</v>
      </c>
      <c r="I9" s="171">
        <f>(H9/G9)*F9</f>
        <v>17009000000</v>
      </c>
      <c r="J9" s="7">
        <f t="shared" si="2"/>
        <v>0</v>
      </c>
      <c r="K9" s="175" t="s">
        <v>859</v>
      </c>
      <c r="U9" s="161"/>
      <c r="V9" s="161"/>
      <c r="W9" s="161"/>
      <c r="X9" s="161"/>
      <c r="Y9" s="162"/>
      <c r="Z9" s="171"/>
      <c r="AA9" s="54"/>
      <c r="AB9" s="54"/>
      <c r="AC9" s="171"/>
    </row>
    <row r="10" spans="1:29" hidden="1" x14ac:dyDescent="0.3">
      <c r="C10" s="161" t="s">
        <v>24</v>
      </c>
      <c r="E10" s="162">
        <v>785000</v>
      </c>
      <c r="F10" s="171">
        <f t="shared" si="0"/>
        <v>785000000</v>
      </c>
    </row>
    <row r="11" spans="1:29" hidden="1" x14ac:dyDescent="0.3">
      <c r="C11" s="161" t="s">
        <v>25</v>
      </c>
      <c r="E11" s="162">
        <v>176800</v>
      </c>
      <c r="F11" s="171">
        <f t="shared" si="0"/>
        <v>176800000</v>
      </c>
    </row>
    <row r="12" spans="1:29" s="2" customFormat="1" x14ac:dyDescent="0.3">
      <c r="A12" s="158"/>
      <c r="B12" s="158" t="s">
        <v>26</v>
      </c>
      <c r="C12" s="158"/>
      <c r="D12" s="158"/>
      <c r="E12" s="159">
        <v>7080000</v>
      </c>
      <c r="F12" s="170">
        <f t="shared" si="0"/>
        <v>7080000000</v>
      </c>
      <c r="G12" s="54"/>
      <c r="H12" s="385"/>
      <c r="I12" s="170">
        <f>SUM(I13:I17)</f>
        <v>6055000000</v>
      </c>
      <c r="J12" s="174"/>
      <c r="U12" s="158"/>
      <c r="V12" s="158"/>
      <c r="W12" s="158"/>
      <c r="X12" s="158"/>
      <c r="Y12" s="159"/>
      <c r="Z12" s="170"/>
      <c r="AA12" s="54"/>
      <c r="AB12" s="54"/>
      <c r="AC12" s="170"/>
    </row>
    <row r="13" spans="1:29" x14ac:dyDescent="0.3">
      <c r="C13" s="161" t="s">
        <v>27</v>
      </c>
      <c r="E13" s="162">
        <v>950000</v>
      </c>
      <c r="F13" s="171">
        <f t="shared" si="0"/>
        <v>950000000</v>
      </c>
      <c r="G13" s="54">
        <v>0.61</v>
      </c>
      <c r="H13" s="385">
        <v>0.61</v>
      </c>
      <c r="I13" s="171">
        <f>(H13/G13)*F13</f>
        <v>950000000</v>
      </c>
      <c r="K13" s="175" t="s">
        <v>859</v>
      </c>
      <c r="N13" s="7">
        <f>(H13-G13)/G13</f>
        <v>0</v>
      </c>
      <c r="AB13" s="7"/>
    </row>
    <row r="14" spans="1:29" x14ac:dyDescent="0.3">
      <c r="C14" s="161" t="s">
        <v>28</v>
      </c>
      <c r="E14" s="162">
        <v>1340000</v>
      </c>
      <c r="F14" s="171">
        <f t="shared" si="0"/>
        <v>1340000000</v>
      </c>
      <c r="G14" s="54">
        <v>0.3</v>
      </c>
      <c r="H14" s="385">
        <v>0.3</v>
      </c>
      <c r="I14" s="171">
        <f>(H14/G14)*F14</f>
        <v>1340000000</v>
      </c>
      <c r="K14" s="175" t="s">
        <v>859</v>
      </c>
      <c r="N14" s="7">
        <f>(H14-G14)/G14</f>
        <v>0</v>
      </c>
      <c r="AB14" s="7"/>
    </row>
    <row r="15" spans="1:29" hidden="1" x14ac:dyDescent="0.3">
      <c r="C15" s="161" t="s">
        <v>29</v>
      </c>
      <c r="E15" s="162">
        <v>257000</v>
      </c>
      <c r="F15" s="171">
        <f t="shared" si="0"/>
        <v>257000000</v>
      </c>
      <c r="K15" s="175" t="s">
        <v>859</v>
      </c>
      <c r="N15" s="7" t="e">
        <f>(H15-G15)/G15</f>
        <v>#DIV/0!</v>
      </c>
      <c r="AB15" s="7"/>
    </row>
    <row r="16" spans="1:29" s="28" customFormat="1" x14ac:dyDescent="0.3">
      <c r="A16" s="161"/>
      <c r="B16" s="161"/>
      <c r="C16" s="161" t="s">
        <v>30</v>
      </c>
      <c r="D16" s="161"/>
      <c r="E16" s="162">
        <v>4518000</v>
      </c>
      <c r="F16" s="171">
        <f t="shared" si="0"/>
        <v>4518000000</v>
      </c>
      <c r="G16" s="54">
        <v>0.6</v>
      </c>
      <c r="H16" s="385">
        <v>0.5</v>
      </c>
      <c r="I16" s="171">
        <f>(H16/G16)*F16</f>
        <v>3765000000</v>
      </c>
      <c r="K16" s="175" t="s">
        <v>859</v>
      </c>
      <c r="N16" s="7">
        <f>(H16-G16)/G16</f>
        <v>-0.16666666666666663</v>
      </c>
      <c r="U16" s="161"/>
      <c r="V16" s="161"/>
      <c r="W16" s="161"/>
      <c r="X16" s="161"/>
      <c r="Y16" s="162"/>
      <c r="Z16" s="171"/>
      <c r="AA16" s="54"/>
      <c r="AB16" s="7"/>
      <c r="AC16" s="171"/>
    </row>
    <row r="17" spans="1:29" hidden="1" x14ac:dyDescent="0.3">
      <c r="C17" s="161" t="s">
        <v>31</v>
      </c>
      <c r="E17" s="162">
        <v>15000</v>
      </c>
      <c r="F17" s="171">
        <f t="shared" si="0"/>
        <v>15000000</v>
      </c>
      <c r="H17" s="385">
        <v>0</v>
      </c>
      <c r="J17" s="7" t="e">
        <f t="shared" ref="J17:J23" si="3">(H17-G17)/G17</f>
        <v>#DIV/0!</v>
      </c>
      <c r="L17" s="7" t="e">
        <f t="shared" ref="L17:L23" si="4">(G17-H17)/G17</f>
        <v>#DIV/0!</v>
      </c>
    </row>
    <row r="18" spans="1:29" s="2" customFormat="1" x14ac:dyDescent="0.3">
      <c r="A18" s="158"/>
      <c r="B18" s="158" t="s">
        <v>32</v>
      </c>
      <c r="C18" s="158"/>
      <c r="D18" s="158"/>
      <c r="E18" s="159">
        <v>3041000</v>
      </c>
      <c r="F18" s="170">
        <f t="shared" si="0"/>
        <v>3041000000</v>
      </c>
      <c r="G18" s="54"/>
      <c r="H18" s="385"/>
      <c r="I18" s="170">
        <f>SUM(I19:I23)</f>
        <v>2816000000</v>
      </c>
      <c r="J18" s="7" t="e">
        <f t="shared" si="3"/>
        <v>#DIV/0!</v>
      </c>
      <c r="L18" s="7" t="e">
        <f t="shared" si="4"/>
        <v>#DIV/0!</v>
      </c>
      <c r="U18" s="158"/>
      <c r="V18" s="158"/>
      <c r="W18" s="158"/>
      <c r="X18" s="158"/>
      <c r="Y18" s="159"/>
      <c r="Z18" s="170"/>
      <c r="AA18" s="54"/>
      <c r="AB18" s="54"/>
      <c r="AC18" s="170"/>
    </row>
    <row r="19" spans="1:29" s="28" customFormat="1" x14ac:dyDescent="0.3">
      <c r="A19" s="161"/>
      <c r="B19" s="161"/>
      <c r="C19" s="161" t="s">
        <v>33</v>
      </c>
      <c r="D19" s="161"/>
      <c r="E19" s="162">
        <v>899000</v>
      </c>
      <c r="F19" s="171">
        <f t="shared" si="0"/>
        <v>899000000</v>
      </c>
      <c r="G19" s="54"/>
      <c r="H19" s="385"/>
      <c r="I19" s="171">
        <f>F19</f>
        <v>899000000</v>
      </c>
      <c r="J19" s="7" t="e">
        <f t="shared" si="3"/>
        <v>#DIV/0!</v>
      </c>
      <c r="L19" s="7" t="e">
        <f t="shared" si="4"/>
        <v>#DIV/0!</v>
      </c>
      <c r="O19" s="28">
        <f>V_tulot!G38</f>
        <v>899000000</v>
      </c>
      <c r="U19" s="161"/>
      <c r="V19" s="161"/>
      <c r="W19" s="161"/>
      <c r="X19" s="161"/>
      <c r="Y19" s="162"/>
      <c r="Z19" s="171"/>
      <c r="AA19" s="54"/>
      <c r="AB19" s="54"/>
      <c r="AC19" s="171"/>
    </row>
    <row r="20" spans="1:29" s="28" customFormat="1" x14ac:dyDescent="0.3">
      <c r="A20" s="161"/>
      <c r="B20" s="161"/>
      <c r="C20" s="161" t="s">
        <v>34</v>
      </c>
      <c r="D20" s="161"/>
      <c r="E20" s="162">
        <v>802000</v>
      </c>
      <c r="F20" s="171">
        <f t="shared" si="0"/>
        <v>802000000</v>
      </c>
      <c r="G20" s="54"/>
      <c r="H20" s="385"/>
      <c r="I20" s="171">
        <f>F20</f>
        <v>802000000</v>
      </c>
      <c r="J20" s="7" t="e">
        <f t="shared" si="3"/>
        <v>#DIV/0!</v>
      </c>
      <c r="L20" s="7" t="e">
        <f t="shared" si="4"/>
        <v>#DIV/0!</v>
      </c>
      <c r="U20" s="161"/>
      <c r="V20" s="161"/>
      <c r="W20" s="161"/>
      <c r="X20" s="161"/>
      <c r="Y20" s="162"/>
      <c r="Z20" s="171"/>
      <c r="AA20" s="54"/>
      <c r="AB20" s="54"/>
      <c r="AC20" s="171"/>
    </row>
    <row r="21" spans="1:29" s="28" customFormat="1" hidden="1" x14ac:dyDescent="0.3">
      <c r="A21" s="161"/>
      <c r="B21" s="161"/>
      <c r="C21" s="161" t="s">
        <v>35</v>
      </c>
      <c r="D21" s="161"/>
      <c r="E21" s="162">
        <v>225000</v>
      </c>
      <c r="F21" s="171">
        <f t="shared" si="0"/>
        <v>225000000</v>
      </c>
      <c r="G21" s="54"/>
      <c r="H21" s="385">
        <v>0</v>
      </c>
      <c r="I21" s="171"/>
      <c r="J21" s="7" t="e">
        <f t="shared" si="3"/>
        <v>#DIV/0!</v>
      </c>
      <c r="L21" s="7" t="e">
        <f t="shared" si="4"/>
        <v>#DIV/0!</v>
      </c>
      <c r="U21" s="161"/>
      <c r="V21" s="161"/>
      <c r="W21" s="161"/>
      <c r="X21" s="161"/>
      <c r="Y21" s="162"/>
      <c r="Z21" s="171"/>
      <c r="AA21" s="54"/>
      <c r="AB21" s="54"/>
      <c r="AC21" s="171"/>
    </row>
    <row r="22" spans="1:29" s="28" customFormat="1" x14ac:dyDescent="0.3">
      <c r="A22" s="161"/>
      <c r="B22" s="161"/>
      <c r="C22" s="161" t="s">
        <v>36</v>
      </c>
      <c r="D22" s="161"/>
      <c r="E22" s="162">
        <v>1090000</v>
      </c>
      <c r="F22" s="171">
        <f t="shared" si="0"/>
        <v>1090000000</v>
      </c>
      <c r="G22" s="54"/>
      <c r="H22" s="385"/>
      <c r="I22" s="171">
        <f>F22</f>
        <v>1090000000</v>
      </c>
      <c r="J22" s="7" t="e">
        <f t="shared" si="3"/>
        <v>#DIV/0!</v>
      </c>
      <c r="L22" s="7" t="e">
        <f t="shared" si="4"/>
        <v>#DIV/0!</v>
      </c>
      <c r="O22" s="28">
        <f>V_tulot!G41</f>
        <v>1090000000</v>
      </c>
      <c r="U22" s="161"/>
      <c r="V22" s="161"/>
      <c r="W22" s="161"/>
      <c r="X22" s="161"/>
      <c r="Y22" s="162"/>
      <c r="Z22" s="171"/>
      <c r="AA22" s="54"/>
      <c r="AB22" s="54"/>
      <c r="AC22" s="171"/>
    </row>
    <row r="23" spans="1:29" s="28" customFormat="1" x14ac:dyDescent="0.3">
      <c r="A23" s="161"/>
      <c r="B23" s="161"/>
      <c r="C23" s="161" t="s">
        <v>37</v>
      </c>
      <c r="D23" s="161"/>
      <c r="E23" s="162">
        <v>25000</v>
      </c>
      <c r="F23" s="171">
        <f t="shared" si="0"/>
        <v>25000000</v>
      </c>
      <c r="G23" s="54"/>
      <c r="H23" s="385"/>
      <c r="I23" s="171">
        <f>F23</f>
        <v>25000000</v>
      </c>
      <c r="J23" s="7" t="e">
        <f t="shared" si="3"/>
        <v>#DIV/0!</v>
      </c>
      <c r="L23" s="7" t="e">
        <f t="shared" si="4"/>
        <v>#DIV/0!</v>
      </c>
      <c r="U23" s="161"/>
      <c r="V23" s="161"/>
      <c r="W23" s="161"/>
      <c r="X23" s="161"/>
      <c r="Y23" s="162"/>
      <c r="Z23" s="171"/>
      <c r="AA23" s="54"/>
      <c r="AB23" s="54"/>
      <c r="AC23" s="171"/>
    </row>
    <row r="24" spans="1:29" s="2" customFormat="1" x14ac:dyDescent="0.3">
      <c r="A24" s="158"/>
      <c r="B24" s="158" t="s">
        <v>38</v>
      </c>
      <c r="C24" s="158"/>
      <c r="D24" s="158"/>
      <c r="E24" s="159">
        <v>110702</v>
      </c>
      <c r="F24" s="170">
        <f t="shared" si="0"/>
        <v>110702000</v>
      </c>
      <c r="G24" s="54"/>
      <c r="H24" s="385"/>
      <c r="I24" s="170">
        <f>SUM(I25:I32)</f>
        <v>51890000</v>
      </c>
      <c r="J24" s="174"/>
      <c r="U24" s="158"/>
      <c r="V24" s="158"/>
      <c r="W24" s="158"/>
      <c r="X24" s="158"/>
      <c r="Y24" s="159"/>
      <c r="Z24" s="170"/>
      <c r="AA24" s="54"/>
      <c r="AB24" s="54"/>
      <c r="AC24" s="170"/>
    </row>
    <row r="25" spans="1:29" s="28" customFormat="1" hidden="1" x14ac:dyDescent="0.3">
      <c r="A25" s="161"/>
      <c r="B25" s="161"/>
      <c r="C25" s="161" t="s">
        <v>39</v>
      </c>
      <c r="D25" s="161"/>
      <c r="E25" s="162">
        <v>5341</v>
      </c>
      <c r="F25" s="171">
        <f t="shared" si="0"/>
        <v>5341000</v>
      </c>
      <c r="G25" s="54"/>
      <c r="H25" s="385">
        <v>0</v>
      </c>
      <c r="I25" s="171"/>
      <c r="J25" s="175"/>
      <c r="U25" s="161"/>
      <c r="V25" s="161"/>
      <c r="W25" s="161"/>
      <c r="X25" s="161"/>
      <c r="Y25" s="162"/>
      <c r="Z25" s="171"/>
      <c r="AA25" s="54"/>
      <c r="AB25" s="54"/>
      <c r="AC25" s="171"/>
    </row>
    <row r="26" spans="1:29" s="28" customFormat="1" hidden="1" x14ac:dyDescent="0.3">
      <c r="A26" s="161"/>
      <c r="B26" s="161"/>
      <c r="C26" s="161" t="s">
        <v>40</v>
      </c>
      <c r="D26" s="161"/>
      <c r="E26" s="162">
        <v>28720</v>
      </c>
      <c r="F26" s="171">
        <f t="shared" si="0"/>
        <v>28720000</v>
      </c>
      <c r="G26" s="54"/>
      <c r="H26" s="385">
        <v>0</v>
      </c>
      <c r="I26" s="171"/>
      <c r="J26" s="175"/>
      <c r="U26" s="161"/>
      <c r="V26" s="161"/>
      <c r="W26" s="161"/>
      <c r="X26" s="161"/>
      <c r="Y26" s="162"/>
      <c r="Z26" s="171"/>
      <c r="AA26" s="54"/>
      <c r="AB26" s="54"/>
      <c r="AC26" s="171"/>
    </row>
    <row r="27" spans="1:29" s="28" customFormat="1" hidden="1" x14ac:dyDescent="0.3">
      <c r="A27" s="161"/>
      <c r="B27" s="161"/>
      <c r="C27" s="161" t="s">
        <v>41</v>
      </c>
      <c r="D27" s="161"/>
      <c r="E27" s="162">
        <v>18751</v>
      </c>
      <c r="F27" s="171">
        <f t="shared" si="0"/>
        <v>18751000</v>
      </c>
      <c r="G27" s="54"/>
      <c r="H27" s="385">
        <v>0</v>
      </c>
      <c r="I27" s="171"/>
      <c r="J27" s="175"/>
      <c r="U27" s="161"/>
      <c r="V27" s="161"/>
      <c r="W27" s="161"/>
      <c r="X27" s="161"/>
      <c r="Y27" s="162"/>
      <c r="Z27" s="171"/>
      <c r="AA27" s="54"/>
      <c r="AB27" s="54"/>
      <c r="AC27" s="171"/>
    </row>
    <row r="28" spans="1:29" s="28" customFormat="1" x14ac:dyDescent="0.3">
      <c r="A28" s="161"/>
      <c r="B28" s="161"/>
      <c r="C28" s="161" t="s">
        <v>42</v>
      </c>
      <c r="D28" s="161"/>
      <c r="E28" s="162">
        <v>44800</v>
      </c>
      <c r="F28" s="171">
        <f t="shared" si="0"/>
        <v>44800000</v>
      </c>
      <c r="G28" s="54"/>
      <c r="H28" s="385"/>
      <c r="I28" s="171">
        <f>F28</f>
        <v>44800000</v>
      </c>
      <c r="J28" s="175"/>
      <c r="K28" s="175" t="s">
        <v>859</v>
      </c>
      <c r="U28" s="161"/>
      <c r="V28" s="161"/>
      <c r="W28" s="161"/>
      <c r="X28" s="161"/>
      <c r="Y28" s="162"/>
      <c r="Z28" s="171"/>
      <c r="AA28" s="54"/>
      <c r="AB28" s="54"/>
      <c r="AC28" s="171"/>
    </row>
    <row r="29" spans="1:29" s="28" customFormat="1" x14ac:dyDescent="0.3">
      <c r="A29" s="161"/>
      <c r="B29" s="161"/>
      <c r="C29" s="161" t="s">
        <v>43</v>
      </c>
      <c r="D29" s="161"/>
      <c r="E29" s="162">
        <v>4000</v>
      </c>
      <c r="F29" s="171">
        <f t="shared" si="0"/>
        <v>4000000</v>
      </c>
      <c r="G29" s="54"/>
      <c r="H29" s="385"/>
      <c r="I29" s="171">
        <f>F29</f>
        <v>4000000</v>
      </c>
      <c r="J29" s="175"/>
      <c r="K29" s="175" t="s">
        <v>859</v>
      </c>
      <c r="U29" s="161"/>
      <c r="V29" s="161"/>
      <c r="W29" s="161"/>
      <c r="X29" s="161"/>
      <c r="Y29" s="162"/>
      <c r="Z29" s="171"/>
      <c r="AA29" s="54"/>
      <c r="AB29" s="54"/>
      <c r="AC29" s="171"/>
    </row>
    <row r="30" spans="1:29" s="28" customFormat="1" hidden="1" x14ac:dyDescent="0.3">
      <c r="A30" s="161"/>
      <c r="B30" s="161"/>
      <c r="C30" s="161" t="s">
        <v>44</v>
      </c>
      <c r="D30" s="161"/>
      <c r="E30" s="162">
        <v>6000</v>
      </c>
      <c r="F30" s="171">
        <f t="shared" si="0"/>
        <v>6000000</v>
      </c>
      <c r="G30" s="54"/>
      <c r="H30" s="385"/>
      <c r="I30" s="171"/>
      <c r="J30" s="175"/>
      <c r="K30" s="175" t="s">
        <v>859</v>
      </c>
      <c r="U30" s="161"/>
      <c r="V30" s="161"/>
      <c r="W30" s="161"/>
      <c r="X30" s="161"/>
      <c r="Y30" s="162"/>
      <c r="Z30" s="171"/>
      <c r="AA30" s="54"/>
      <c r="AB30" s="54"/>
      <c r="AC30" s="171"/>
    </row>
    <row r="31" spans="1:29" s="28" customFormat="1" x14ac:dyDescent="0.3">
      <c r="A31" s="161"/>
      <c r="B31" s="161"/>
      <c r="C31" s="161" t="s">
        <v>45</v>
      </c>
      <c r="D31" s="161"/>
      <c r="E31" s="162">
        <v>3090</v>
      </c>
      <c r="F31" s="171">
        <f t="shared" si="0"/>
        <v>3090000</v>
      </c>
      <c r="G31" s="54"/>
      <c r="H31" s="385"/>
      <c r="I31" s="171">
        <f>F31</f>
        <v>3090000</v>
      </c>
      <c r="J31" s="175"/>
      <c r="K31" s="175" t="s">
        <v>859</v>
      </c>
      <c r="U31" s="161"/>
      <c r="V31" s="161"/>
      <c r="W31" s="161"/>
      <c r="X31" s="161"/>
      <c r="Y31" s="162"/>
      <c r="Z31" s="171"/>
      <c r="AA31" s="54"/>
      <c r="AB31" s="54"/>
      <c r="AC31" s="171"/>
    </row>
    <row r="32" spans="1:29" s="28" customFormat="1" hidden="1" x14ac:dyDescent="0.3">
      <c r="A32" s="161"/>
      <c r="B32" s="161"/>
      <c r="C32" s="161" t="s">
        <v>46</v>
      </c>
      <c r="D32" s="161"/>
      <c r="E32" s="162">
        <v>0</v>
      </c>
      <c r="F32" s="171">
        <f t="shared" si="0"/>
        <v>0</v>
      </c>
      <c r="G32" s="54"/>
      <c r="H32" s="385"/>
      <c r="I32" s="171"/>
      <c r="J32" s="175"/>
      <c r="U32" s="161"/>
      <c r="V32" s="161"/>
      <c r="W32" s="161" t="s">
        <v>46</v>
      </c>
      <c r="X32" s="161"/>
      <c r="Y32" s="162">
        <v>0</v>
      </c>
      <c r="Z32" s="171">
        <f t="shared" si="1"/>
        <v>0</v>
      </c>
      <c r="AA32" s="54"/>
      <c r="AB32" s="54"/>
      <c r="AC32" s="171"/>
    </row>
    <row r="33" spans="1:29" s="39" customFormat="1" ht="18" x14ac:dyDescent="0.35">
      <c r="A33" s="158"/>
      <c r="B33" s="180" t="s">
        <v>47</v>
      </c>
      <c r="C33" s="180"/>
      <c r="D33" s="180"/>
      <c r="E33" s="181">
        <v>5426158</v>
      </c>
      <c r="F33" s="182">
        <f t="shared" ref="F33" si="5">E33*1000</f>
        <v>5426158000</v>
      </c>
      <c r="G33" s="183"/>
      <c r="H33" s="384"/>
      <c r="I33" s="182">
        <f>I34+I36+I41+I44+I48+I62+I66+I78+I81+I87+I93+I97</f>
        <v>1691693000</v>
      </c>
      <c r="J33" s="301"/>
    </row>
    <row r="34" spans="1:29" s="2" customFormat="1" x14ac:dyDescent="0.3">
      <c r="A34" s="158"/>
      <c r="B34" s="158" t="s">
        <v>48</v>
      </c>
      <c r="C34" s="158"/>
      <c r="D34" s="158"/>
      <c r="E34" s="159">
        <v>37227</v>
      </c>
      <c r="F34" s="170">
        <f t="shared" ref="F34:F47" si="6">E34*1000</f>
        <v>37227000</v>
      </c>
      <c r="G34" s="54"/>
      <c r="H34" s="385"/>
      <c r="I34" s="170">
        <f>SUM(I35)</f>
        <v>37227000</v>
      </c>
      <c r="J34" s="174"/>
      <c r="U34" s="158"/>
      <c r="V34" s="158"/>
      <c r="W34" s="158"/>
      <c r="X34" s="158"/>
      <c r="Y34" s="159"/>
      <c r="Z34" s="170"/>
      <c r="AA34" s="54"/>
      <c r="AB34" s="54"/>
      <c r="AC34" s="170"/>
    </row>
    <row r="35" spans="1:29" x14ac:dyDescent="0.3">
      <c r="C35" s="161" t="s">
        <v>49</v>
      </c>
      <c r="E35" s="162">
        <v>37227</v>
      </c>
      <c r="F35" s="171">
        <f t="shared" si="6"/>
        <v>37227000</v>
      </c>
      <c r="I35" s="171">
        <f>F35</f>
        <v>37227000</v>
      </c>
    </row>
    <row r="36" spans="1:29" s="2" customFormat="1" x14ac:dyDescent="0.3">
      <c r="A36" s="158"/>
      <c r="B36" s="158" t="s">
        <v>50</v>
      </c>
      <c r="C36" s="158"/>
      <c r="D36" s="158"/>
      <c r="E36" s="159">
        <v>138950</v>
      </c>
      <c r="F36" s="170">
        <f t="shared" si="6"/>
        <v>138950000</v>
      </c>
      <c r="G36" s="54"/>
      <c r="H36" s="385"/>
      <c r="I36" s="170">
        <f>SUM(I37:I40)</f>
        <v>138950000</v>
      </c>
      <c r="J36" s="174"/>
      <c r="U36" s="158"/>
      <c r="V36" s="158"/>
      <c r="W36" s="158"/>
      <c r="X36" s="158"/>
      <c r="Y36" s="159"/>
      <c r="Z36" s="170"/>
      <c r="AA36" s="54"/>
      <c r="AB36" s="54"/>
      <c r="AC36" s="170"/>
    </row>
    <row r="37" spans="1:29" x14ac:dyDescent="0.3">
      <c r="C37" s="161" t="s">
        <v>51</v>
      </c>
      <c r="E37" s="162">
        <v>38900</v>
      </c>
      <c r="F37" s="171">
        <f t="shared" si="6"/>
        <v>38900000</v>
      </c>
      <c r="I37" s="171">
        <f>F37</f>
        <v>38900000</v>
      </c>
    </row>
    <row r="38" spans="1:29" x14ac:dyDescent="0.3">
      <c r="C38" s="161" t="s">
        <v>52</v>
      </c>
      <c r="E38" s="162">
        <v>23300</v>
      </c>
      <c r="F38" s="171">
        <f t="shared" si="6"/>
        <v>23300000</v>
      </c>
      <c r="I38" s="171">
        <f t="shared" ref="I38:I40" si="7">F38</f>
        <v>23300000</v>
      </c>
    </row>
    <row r="39" spans="1:29" x14ac:dyDescent="0.3">
      <c r="C39" s="161" t="s">
        <v>53</v>
      </c>
      <c r="E39" s="162">
        <v>74000</v>
      </c>
      <c r="F39" s="171">
        <f t="shared" si="6"/>
        <v>74000000</v>
      </c>
      <c r="I39" s="171">
        <f t="shared" si="7"/>
        <v>74000000</v>
      </c>
    </row>
    <row r="40" spans="1:29" x14ac:dyDescent="0.3">
      <c r="C40" s="161" t="s">
        <v>54</v>
      </c>
      <c r="E40" s="162">
        <v>2750</v>
      </c>
      <c r="F40" s="171">
        <f t="shared" si="6"/>
        <v>2750000</v>
      </c>
      <c r="I40" s="171">
        <f t="shared" si="7"/>
        <v>2750000</v>
      </c>
    </row>
    <row r="41" spans="1:29" s="2" customFormat="1" x14ac:dyDescent="0.3">
      <c r="A41" s="158"/>
      <c r="B41" s="158" t="s">
        <v>55</v>
      </c>
      <c r="C41" s="158"/>
      <c r="D41" s="158"/>
      <c r="E41" s="159">
        <v>47824</v>
      </c>
      <c r="F41" s="170">
        <f t="shared" si="6"/>
        <v>47824000</v>
      </c>
      <c r="G41" s="54"/>
      <c r="H41" s="385"/>
      <c r="I41" s="170">
        <f>SUM(I42:I43)</f>
        <v>450000</v>
      </c>
      <c r="J41" s="174"/>
      <c r="U41" s="158"/>
      <c r="V41" s="158"/>
      <c r="W41" s="158"/>
      <c r="X41" s="158"/>
      <c r="Y41" s="159"/>
      <c r="Z41" s="170"/>
      <c r="AA41" s="54"/>
      <c r="AB41" s="54"/>
      <c r="AC41" s="170"/>
    </row>
    <row r="42" spans="1:29" hidden="1" x14ac:dyDescent="0.3">
      <c r="C42" s="164" t="s">
        <v>56</v>
      </c>
      <c r="D42" s="164"/>
      <c r="E42" s="165">
        <v>47374</v>
      </c>
      <c r="F42" s="172">
        <f t="shared" si="6"/>
        <v>47374000</v>
      </c>
      <c r="G42" s="54">
        <v>0.01</v>
      </c>
      <c r="I42" s="171">
        <f>(H42/G42)*F42</f>
        <v>0</v>
      </c>
      <c r="W42" s="164"/>
      <c r="X42" s="164"/>
      <c r="Y42" s="165"/>
      <c r="Z42" s="172"/>
    </row>
    <row r="43" spans="1:29" x14ac:dyDescent="0.3">
      <c r="C43" s="161" t="s">
        <v>57</v>
      </c>
      <c r="E43" s="162">
        <v>450</v>
      </c>
      <c r="F43" s="171">
        <f t="shared" si="6"/>
        <v>450000</v>
      </c>
      <c r="I43" s="171">
        <f>F43</f>
        <v>450000</v>
      </c>
    </row>
    <row r="44" spans="1:29" s="2" customFormat="1" x14ac:dyDescent="0.3">
      <c r="A44" s="158"/>
      <c r="B44" s="158" t="s">
        <v>58</v>
      </c>
      <c r="C44" s="158"/>
      <c r="D44" s="158"/>
      <c r="E44" s="159">
        <v>6506</v>
      </c>
      <c r="F44" s="170">
        <f t="shared" si="6"/>
        <v>6506000</v>
      </c>
      <c r="G44" s="54"/>
      <c r="H44" s="385"/>
      <c r="I44" s="170">
        <f>SUM(I45:I47)</f>
        <v>6506000</v>
      </c>
      <c r="J44" s="174"/>
      <c r="U44" s="158"/>
      <c r="V44" s="158"/>
      <c r="W44" s="158"/>
      <c r="X44" s="158"/>
      <c r="Y44" s="159"/>
      <c r="Z44" s="170"/>
      <c r="AA44" s="54"/>
      <c r="AB44" s="54"/>
      <c r="AC44" s="170"/>
    </row>
    <row r="45" spans="1:29" x14ac:dyDescent="0.3">
      <c r="C45" s="161" t="s">
        <v>59</v>
      </c>
      <c r="E45" s="162">
        <v>8</v>
      </c>
      <c r="F45" s="171">
        <f t="shared" si="6"/>
        <v>8000</v>
      </c>
      <c r="I45" s="171">
        <f>F45</f>
        <v>8000</v>
      </c>
    </row>
    <row r="46" spans="1:29" x14ac:dyDescent="0.3">
      <c r="C46" s="161" t="s">
        <v>60</v>
      </c>
      <c r="E46" s="162">
        <v>18</v>
      </c>
      <c r="F46" s="171">
        <f t="shared" si="6"/>
        <v>18000</v>
      </c>
      <c r="I46" s="171">
        <f t="shared" ref="I46:I47" si="8">F46</f>
        <v>18000</v>
      </c>
    </row>
    <row r="47" spans="1:29" x14ac:dyDescent="0.3">
      <c r="C47" s="161" t="s">
        <v>61</v>
      </c>
      <c r="E47" s="162">
        <v>6480</v>
      </c>
      <c r="F47" s="171">
        <f t="shared" si="6"/>
        <v>6480000</v>
      </c>
      <c r="I47" s="171">
        <f t="shared" si="8"/>
        <v>6480000</v>
      </c>
    </row>
    <row r="48" spans="1:29" s="2" customFormat="1" x14ac:dyDescent="0.3">
      <c r="A48" s="158"/>
      <c r="B48" s="158" t="s">
        <v>62</v>
      </c>
      <c r="C48" s="158"/>
      <c r="D48" s="158"/>
      <c r="E48" s="159">
        <v>2245507</v>
      </c>
      <c r="F48" s="170">
        <f t="shared" ref="F48:F61" si="9">E48*1000</f>
        <v>2245507000</v>
      </c>
      <c r="G48" s="54"/>
      <c r="H48" s="385"/>
      <c r="I48" s="170">
        <f>SUM(I49:I61)</f>
        <v>61361000</v>
      </c>
      <c r="J48" s="174"/>
      <c r="U48" s="158"/>
      <c r="V48" s="158"/>
      <c r="W48" s="158"/>
      <c r="X48" s="158"/>
      <c r="Y48" s="159"/>
      <c r="Z48" s="170"/>
      <c r="AA48" s="54"/>
      <c r="AB48" s="54"/>
      <c r="AC48" s="170"/>
    </row>
    <row r="49" spans="1:29" x14ac:dyDescent="0.3">
      <c r="C49" s="161" t="s">
        <v>63</v>
      </c>
      <c r="E49" s="162">
        <v>2500</v>
      </c>
      <c r="F49" s="171">
        <f t="shared" si="9"/>
        <v>2500000</v>
      </c>
      <c r="I49" s="171">
        <f>F49</f>
        <v>2500000</v>
      </c>
    </row>
    <row r="50" spans="1:29" hidden="1" x14ac:dyDescent="0.3">
      <c r="C50" s="161" t="s">
        <v>64</v>
      </c>
      <c r="E50" s="162">
        <v>136621</v>
      </c>
      <c r="F50" s="171">
        <f t="shared" si="9"/>
        <v>136621000</v>
      </c>
    </row>
    <row r="51" spans="1:29" hidden="1" x14ac:dyDescent="0.3">
      <c r="C51" s="161" t="s">
        <v>65</v>
      </c>
      <c r="E51" s="162">
        <v>26170</v>
      </c>
      <c r="F51" s="171">
        <f t="shared" si="9"/>
        <v>26170000</v>
      </c>
    </row>
    <row r="52" spans="1:29" hidden="1" x14ac:dyDescent="0.3">
      <c r="C52" s="161" t="s">
        <v>66</v>
      </c>
      <c r="E52" s="162">
        <v>15081</v>
      </c>
      <c r="F52" s="171">
        <f t="shared" si="9"/>
        <v>15081000</v>
      </c>
    </row>
    <row r="53" spans="1:29" x14ac:dyDescent="0.3">
      <c r="C53" s="161" t="s">
        <v>67</v>
      </c>
      <c r="E53" s="162">
        <v>5200</v>
      </c>
      <c r="F53" s="171">
        <f t="shared" si="9"/>
        <v>5200000</v>
      </c>
      <c r="I53" s="171">
        <f t="shared" ref="I53:I58" si="10">F53</f>
        <v>5200000</v>
      </c>
    </row>
    <row r="54" spans="1:29" x14ac:dyDescent="0.3">
      <c r="C54" s="161" t="s">
        <v>68</v>
      </c>
      <c r="E54" s="162">
        <v>15000</v>
      </c>
      <c r="F54" s="171">
        <f t="shared" si="9"/>
        <v>15000000</v>
      </c>
      <c r="I54" s="171">
        <f t="shared" si="10"/>
        <v>15000000</v>
      </c>
    </row>
    <row r="55" spans="1:29" hidden="1" x14ac:dyDescent="0.3">
      <c r="C55" s="161" t="s">
        <v>69</v>
      </c>
      <c r="E55" s="162">
        <v>1784620</v>
      </c>
      <c r="F55" s="171">
        <f t="shared" si="9"/>
        <v>1784620000</v>
      </c>
    </row>
    <row r="56" spans="1:29" hidden="1" x14ac:dyDescent="0.3">
      <c r="C56" s="161" t="s">
        <v>70</v>
      </c>
      <c r="E56" s="162">
        <v>186154</v>
      </c>
      <c r="F56" s="171">
        <f t="shared" si="9"/>
        <v>186154000</v>
      </c>
    </row>
    <row r="57" spans="1:29" x14ac:dyDescent="0.3">
      <c r="C57" s="161" t="s">
        <v>71</v>
      </c>
      <c r="E57" s="162">
        <v>19796</v>
      </c>
      <c r="F57" s="171">
        <f t="shared" si="9"/>
        <v>19796000</v>
      </c>
      <c r="I57" s="171">
        <f t="shared" si="10"/>
        <v>19796000</v>
      </c>
    </row>
    <row r="58" spans="1:29" x14ac:dyDescent="0.3">
      <c r="C58" s="161" t="s">
        <v>72</v>
      </c>
      <c r="E58" s="162">
        <v>900</v>
      </c>
      <c r="F58" s="171">
        <f t="shared" si="9"/>
        <v>900000</v>
      </c>
      <c r="I58" s="171">
        <f t="shared" si="10"/>
        <v>900000</v>
      </c>
    </row>
    <row r="59" spans="1:29" hidden="1" x14ac:dyDescent="0.3">
      <c r="C59" s="164" t="s">
        <v>73</v>
      </c>
      <c r="D59" s="164"/>
      <c r="E59" s="165">
        <v>34000</v>
      </c>
      <c r="F59" s="172">
        <f t="shared" si="9"/>
        <v>34000000</v>
      </c>
      <c r="G59" s="54">
        <v>0.01</v>
      </c>
      <c r="I59" s="171">
        <f t="shared" ref="I59:I60" si="11">(H59/G59)*F59</f>
        <v>0</v>
      </c>
      <c r="W59" s="164"/>
      <c r="X59" s="164"/>
      <c r="Y59" s="165"/>
      <c r="Z59" s="172"/>
    </row>
    <row r="60" spans="1:29" hidden="1" x14ac:dyDescent="0.3">
      <c r="C60" s="164" t="s">
        <v>74</v>
      </c>
      <c r="D60" s="164"/>
      <c r="E60" s="165">
        <v>1500</v>
      </c>
      <c r="F60" s="172">
        <f t="shared" si="9"/>
        <v>1500000</v>
      </c>
      <c r="G60" s="54">
        <v>0.01</v>
      </c>
      <c r="I60" s="171">
        <f t="shared" si="11"/>
        <v>0</v>
      </c>
      <c r="W60" s="164"/>
      <c r="X60" s="164"/>
      <c r="Y60" s="165"/>
      <c r="Z60" s="172"/>
    </row>
    <row r="61" spans="1:29" x14ac:dyDescent="0.3">
      <c r="C61" s="161" t="s">
        <v>75</v>
      </c>
      <c r="E61" s="162">
        <v>17965</v>
      </c>
      <c r="F61" s="171">
        <f t="shared" si="9"/>
        <v>17965000</v>
      </c>
      <c r="I61" s="171">
        <f>F61</f>
        <v>17965000</v>
      </c>
    </row>
    <row r="62" spans="1:29" s="2" customFormat="1" x14ac:dyDescent="0.3">
      <c r="A62" s="158"/>
      <c r="B62" s="158" t="s">
        <v>76</v>
      </c>
      <c r="C62" s="158"/>
      <c r="D62" s="158"/>
      <c r="E62" s="159">
        <v>566543</v>
      </c>
      <c r="F62" s="170">
        <f>E62*1000</f>
        <v>566543000</v>
      </c>
      <c r="G62" s="54"/>
      <c r="H62" s="385"/>
      <c r="I62" s="170">
        <f>SUM(I63:I65)</f>
        <v>542543000</v>
      </c>
      <c r="J62" s="174"/>
      <c r="U62" s="158"/>
      <c r="V62" s="158"/>
      <c r="W62" s="158"/>
      <c r="X62" s="158"/>
      <c r="Y62" s="159"/>
      <c r="Z62" s="170"/>
      <c r="AA62" s="54"/>
      <c r="AB62" s="54"/>
      <c r="AC62" s="170"/>
    </row>
    <row r="63" spans="1:29" hidden="1" x14ac:dyDescent="0.3">
      <c r="C63" s="161" t="s">
        <v>77</v>
      </c>
      <c r="E63" s="162">
        <v>24000</v>
      </c>
      <c r="F63" s="171">
        <f>E63*1000</f>
        <v>24000000</v>
      </c>
    </row>
    <row r="64" spans="1:29" x14ac:dyDescent="0.3">
      <c r="C64" s="161" t="s">
        <v>78</v>
      </c>
      <c r="E64" s="162">
        <v>538543</v>
      </c>
      <c r="F64" s="171">
        <f>E64*1000</f>
        <v>538543000</v>
      </c>
      <c r="I64" s="171">
        <f>F64</f>
        <v>538543000</v>
      </c>
      <c r="K64" s="175" t="s">
        <v>859</v>
      </c>
    </row>
    <row r="65" spans="1:29" x14ac:dyDescent="0.3">
      <c r="C65" s="161" t="s">
        <v>79</v>
      </c>
      <c r="E65" s="162">
        <v>4000</v>
      </c>
      <c r="F65" s="171">
        <f>E65*1000</f>
        <v>4000000</v>
      </c>
      <c r="I65" s="171">
        <f>F65</f>
        <v>4000000</v>
      </c>
    </row>
    <row r="66" spans="1:29" s="2" customFormat="1" x14ac:dyDescent="0.3">
      <c r="A66" s="158"/>
      <c r="B66" s="158" t="s">
        <v>80</v>
      </c>
      <c r="C66" s="158"/>
      <c r="D66" s="158"/>
      <c r="E66" s="159">
        <v>1034850</v>
      </c>
      <c r="F66" s="170">
        <f t="shared" ref="F66:F77" si="12">E66*1000</f>
        <v>1034850000</v>
      </c>
      <c r="G66" s="54"/>
      <c r="H66" s="385"/>
      <c r="I66" s="170">
        <f>SUM(I67:I77)</f>
        <v>34470000</v>
      </c>
      <c r="J66" s="174"/>
      <c r="U66" s="158"/>
      <c r="V66" s="158"/>
      <c r="W66" s="158"/>
      <c r="X66" s="158"/>
      <c r="Y66" s="159"/>
      <c r="Z66" s="170"/>
      <c r="AA66" s="54"/>
      <c r="AB66" s="54"/>
      <c r="AC66" s="170"/>
    </row>
    <row r="67" spans="1:29" hidden="1" x14ac:dyDescent="0.3">
      <c r="C67" s="164" t="s">
        <v>81</v>
      </c>
      <c r="D67" s="164"/>
      <c r="E67" s="165">
        <v>599903</v>
      </c>
      <c r="F67" s="172">
        <f t="shared" si="12"/>
        <v>599903000</v>
      </c>
      <c r="W67" s="164"/>
      <c r="X67" s="164"/>
      <c r="Y67" s="165"/>
      <c r="Z67" s="172"/>
    </row>
    <row r="68" spans="1:29" hidden="1" x14ac:dyDescent="0.3">
      <c r="C68" s="164" t="s">
        <v>82</v>
      </c>
      <c r="D68" s="164"/>
      <c r="E68" s="165">
        <v>390000</v>
      </c>
      <c r="F68" s="172">
        <f t="shared" si="12"/>
        <v>390000000</v>
      </c>
      <c r="W68" s="164"/>
      <c r="X68" s="164"/>
      <c r="Y68" s="165"/>
      <c r="Z68" s="172"/>
    </row>
    <row r="69" spans="1:29" hidden="1" x14ac:dyDescent="0.3">
      <c r="C69" s="164" t="s">
        <v>83</v>
      </c>
      <c r="D69" s="164"/>
      <c r="E69" s="165">
        <v>10000</v>
      </c>
      <c r="F69" s="172">
        <f t="shared" si="12"/>
        <v>10000000</v>
      </c>
      <c r="W69" s="164"/>
      <c r="X69" s="164"/>
      <c r="Y69" s="165"/>
      <c r="Z69" s="172"/>
    </row>
    <row r="70" spans="1:29" hidden="1" x14ac:dyDescent="0.3">
      <c r="C70" s="164" t="s">
        <v>84</v>
      </c>
      <c r="D70" s="164"/>
      <c r="E70" s="165">
        <v>477</v>
      </c>
      <c r="F70" s="172">
        <f t="shared" si="12"/>
        <v>477000</v>
      </c>
      <c r="W70" s="164"/>
      <c r="X70" s="164"/>
      <c r="Y70" s="165"/>
      <c r="Z70" s="172"/>
    </row>
    <row r="71" spans="1:29" x14ac:dyDescent="0.3">
      <c r="C71" s="161" t="s">
        <v>85</v>
      </c>
      <c r="E71" s="162">
        <v>1040</v>
      </c>
      <c r="F71" s="171">
        <f t="shared" si="12"/>
        <v>1040000</v>
      </c>
      <c r="I71" s="171">
        <f>F71</f>
        <v>1040000</v>
      </c>
      <c r="K71" s="175" t="s">
        <v>859</v>
      </c>
    </row>
    <row r="72" spans="1:29" x14ac:dyDescent="0.3">
      <c r="C72" s="161" t="s">
        <v>86</v>
      </c>
      <c r="E72" s="162">
        <v>3000</v>
      </c>
      <c r="F72" s="171">
        <f t="shared" si="12"/>
        <v>3000000</v>
      </c>
      <c r="I72" s="171">
        <f t="shared" ref="I72:I77" si="13">F72</f>
        <v>3000000</v>
      </c>
    </row>
    <row r="73" spans="1:29" x14ac:dyDescent="0.3">
      <c r="C73" s="161" t="s">
        <v>87</v>
      </c>
      <c r="E73" s="162">
        <v>500</v>
      </c>
      <c r="F73" s="171">
        <f t="shared" si="12"/>
        <v>500000</v>
      </c>
      <c r="I73" s="171">
        <f t="shared" si="13"/>
        <v>500000</v>
      </c>
    </row>
    <row r="74" spans="1:29" x14ac:dyDescent="0.3">
      <c r="C74" s="161" t="s">
        <v>88</v>
      </c>
      <c r="E74" s="162">
        <v>3400</v>
      </c>
      <c r="F74" s="171">
        <f t="shared" si="12"/>
        <v>3400000</v>
      </c>
      <c r="I74" s="171">
        <f t="shared" si="13"/>
        <v>3400000</v>
      </c>
    </row>
    <row r="75" spans="1:29" x14ac:dyDescent="0.3">
      <c r="C75" s="161" t="s">
        <v>89</v>
      </c>
      <c r="E75" s="162">
        <v>10400</v>
      </c>
      <c r="F75" s="171">
        <f t="shared" si="12"/>
        <v>10400000</v>
      </c>
      <c r="I75" s="171">
        <f t="shared" si="13"/>
        <v>10400000</v>
      </c>
    </row>
    <row r="76" spans="1:29" x14ac:dyDescent="0.3">
      <c r="C76" s="161" t="s">
        <v>90</v>
      </c>
      <c r="E76" s="162">
        <v>10130</v>
      </c>
      <c r="F76" s="171">
        <f t="shared" si="12"/>
        <v>10130000</v>
      </c>
      <c r="I76" s="171">
        <f t="shared" si="13"/>
        <v>10130000</v>
      </c>
    </row>
    <row r="77" spans="1:29" x14ac:dyDescent="0.3">
      <c r="C77" s="161" t="s">
        <v>91</v>
      </c>
      <c r="E77" s="162">
        <v>6000</v>
      </c>
      <c r="F77" s="171">
        <f t="shared" si="12"/>
        <v>6000000</v>
      </c>
      <c r="I77" s="171">
        <f t="shared" si="13"/>
        <v>6000000</v>
      </c>
    </row>
    <row r="78" spans="1:29" s="2" customFormat="1" x14ac:dyDescent="0.3">
      <c r="A78" s="158"/>
      <c r="B78" s="158" t="s">
        <v>92</v>
      </c>
      <c r="C78" s="158"/>
      <c r="D78" s="158"/>
      <c r="E78" s="159">
        <v>142393</v>
      </c>
      <c r="F78" s="170">
        <f>E78*1000</f>
        <v>142393000</v>
      </c>
      <c r="G78" s="54"/>
      <c r="H78" s="385"/>
      <c r="I78" s="170">
        <f>SUM(I79:I80)</f>
        <v>142393000</v>
      </c>
      <c r="J78" s="174"/>
      <c r="U78" s="158"/>
      <c r="V78" s="158"/>
      <c r="W78" s="158"/>
      <c r="X78" s="158"/>
      <c r="Y78" s="159"/>
      <c r="Z78" s="170"/>
      <c r="AA78" s="54"/>
      <c r="AB78" s="54"/>
      <c r="AC78" s="170"/>
    </row>
    <row r="79" spans="1:29" x14ac:dyDescent="0.3">
      <c r="C79" s="161" t="s">
        <v>93</v>
      </c>
      <c r="E79" s="162">
        <v>141743</v>
      </c>
      <c r="F79" s="171">
        <f>E79*1000</f>
        <v>141743000</v>
      </c>
      <c r="I79" s="171">
        <f>F79</f>
        <v>141743000</v>
      </c>
    </row>
    <row r="80" spans="1:29" x14ac:dyDescent="0.3">
      <c r="C80" s="161" t="s">
        <v>94</v>
      </c>
      <c r="E80" s="162">
        <v>650</v>
      </c>
      <c r="F80" s="171">
        <f>E80*1000</f>
        <v>650000</v>
      </c>
      <c r="I80" s="171">
        <f>F80</f>
        <v>650000</v>
      </c>
    </row>
    <row r="81" spans="1:29" s="2" customFormat="1" x14ac:dyDescent="0.3">
      <c r="A81" s="158"/>
      <c r="B81" s="158" t="s">
        <v>95</v>
      </c>
      <c r="C81" s="158"/>
      <c r="D81" s="158"/>
      <c r="E81" s="159">
        <v>333815</v>
      </c>
      <c r="F81" s="170">
        <f t="shared" ref="F81:F86" si="14">E81*1000</f>
        <v>333815000</v>
      </c>
      <c r="G81" s="54"/>
      <c r="H81" s="385"/>
      <c r="I81" s="170">
        <f>SUM(I82:I86)</f>
        <v>170950000</v>
      </c>
      <c r="J81" s="174"/>
      <c r="U81" s="158"/>
      <c r="V81" s="158"/>
      <c r="W81" s="158"/>
      <c r="X81" s="158"/>
      <c r="Y81" s="159"/>
      <c r="Z81" s="170"/>
      <c r="AA81" s="54"/>
      <c r="AB81" s="54"/>
      <c r="AC81" s="170"/>
    </row>
    <row r="82" spans="1:29" x14ac:dyDescent="0.3">
      <c r="C82" s="161" t="s">
        <v>96</v>
      </c>
      <c r="E82" s="162">
        <v>2850</v>
      </c>
      <c r="F82" s="171">
        <f t="shared" si="14"/>
        <v>2850000</v>
      </c>
      <c r="I82" s="171">
        <f t="shared" ref="I82:I83" si="15">F82</f>
        <v>2850000</v>
      </c>
    </row>
    <row r="83" spans="1:29" x14ac:dyDescent="0.3">
      <c r="C83" s="161" t="s">
        <v>97</v>
      </c>
      <c r="E83" s="162">
        <v>65000</v>
      </c>
      <c r="F83" s="171">
        <f t="shared" si="14"/>
        <v>65000000</v>
      </c>
      <c r="I83" s="171">
        <f t="shared" si="15"/>
        <v>65000000</v>
      </c>
    </row>
    <row r="84" spans="1:29" hidden="1" x14ac:dyDescent="0.3">
      <c r="C84" s="161" t="s">
        <v>98</v>
      </c>
      <c r="E84" s="162">
        <v>42865</v>
      </c>
      <c r="F84" s="171">
        <f t="shared" si="14"/>
        <v>42865000</v>
      </c>
    </row>
    <row r="85" spans="1:29" hidden="1" x14ac:dyDescent="0.3">
      <c r="C85" s="161" t="s">
        <v>99</v>
      </c>
      <c r="E85" s="162">
        <v>120000</v>
      </c>
      <c r="F85" s="171">
        <f t="shared" si="14"/>
        <v>120000000</v>
      </c>
      <c r="K85" s="175" t="s">
        <v>859</v>
      </c>
    </row>
    <row r="86" spans="1:29" x14ac:dyDescent="0.3">
      <c r="C86" s="161" t="s">
        <v>100</v>
      </c>
      <c r="E86" s="162">
        <v>103100</v>
      </c>
      <c r="F86" s="171">
        <f t="shared" si="14"/>
        <v>103100000</v>
      </c>
      <c r="I86" s="171">
        <f>F86</f>
        <v>103100000</v>
      </c>
    </row>
    <row r="87" spans="1:29" s="2" customFormat="1" x14ac:dyDescent="0.3">
      <c r="A87" s="158"/>
      <c r="B87" s="158" t="s">
        <v>101</v>
      </c>
      <c r="C87" s="158"/>
      <c r="D87" s="158"/>
      <c r="E87" s="159">
        <v>523393</v>
      </c>
      <c r="F87" s="170">
        <f t="shared" ref="F87:F92" si="16">E87*1000</f>
        <v>523393000</v>
      </c>
      <c r="G87" s="54"/>
      <c r="H87" s="385"/>
      <c r="I87" s="170">
        <f>SUM(I88:I92)</f>
        <v>429693000</v>
      </c>
      <c r="J87" s="174"/>
      <c r="U87" s="158"/>
      <c r="V87" s="158"/>
      <c r="W87" s="158"/>
      <c r="X87" s="158"/>
      <c r="Y87" s="159"/>
      <c r="Z87" s="170"/>
      <c r="AA87" s="54"/>
      <c r="AB87" s="54"/>
      <c r="AC87" s="170"/>
    </row>
    <row r="88" spans="1:29" x14ac:dyDescent="0.3">
      <c r="C88" s="161" t="s">
        <v>102</v>
      </c>
      <c r="E88" s="162">
        <v>1600</v>
      </c>
      <c r="F88" s="171">
        <f t="shared" si="16"/>
        <v>1600000</v>
      </c>
      <c r="I88" s="171">
        <f>F88</f>
        <v>1600000</v>
      </c>
    </row>
    <row r="89" spans="1:29" hidden="1" x14ac:dyDescent="0.3">
      <c r="C89" s="161" t="s">
        <v>103</v>
      </c>
      <c r="E89" s="162">
        <v>500</v>
      </c>
      <c r="F89" s="171">
        <f t="shared" si="16"/>
        <v>500000</v>
      </c>
    </row>
    <row r="90" spans="1:29" x14ac:dyDescent="0.3">
      <c r="C90" s="161" t="s">
        <v>104</v>
      </c>
      <c r="E90" s="162">
        <v>426788</v>
      </c>
      <c r="F90" s="171">
        <f t="shared" si="16"/>
        <v>426788000</v>
      </c>
      <c r="I90" s="171">
        <f>F90</f>
        <v>426788000</v>
      </c>
      <c r="K90" s="175" t="s">
        <v>859</v>
      </c>
    </row>
    <row r="91" spans="1:29" hidden="1" x14ac:dyDescent="0.3">
      <c r="C91" s="161" t="s">
        <v>105</v>
      </c>
      <c r="E91" s="162">
        <v>93200</v>
      </c>
      <c r="F91" s="171">
        <f t="shared" si="16"/>
        <v>93200000</v>
      </c>
    </row>
    <row r="92" spans="1:29" x14ac:dyDescent="0.3">
      <c r="C92" s="161" t="s">
        <v>106</v>
      </c>
      <c r="E92" s="162">
        <v>1305</v>
      </c>
      <c r="F92" s="171">
        <f t="shared" si="16"/>
        <v>1305000</v>
      </c>
      <c r="I92" s="171">
        <f t="shared" ref="I92" si="17">F92</f>
        <v>1305000</v>
      </c>
    </row>
    <row r="93" spans="1:29" s="2" customFormat="1" x14ac:dyDescent="0.3">
      <c r="A93" s="158"/>
      <c r="B93" s="158" t="s">
        <v>107</v>
      </c>
      <c r="C93" s="158"/>
      <c r="D93" s="158"/>
      <c r="E93" s="159">
        <v>52650</v>
      </c>
      <c r="F93" s="170">
        <f t="shared" ref="F93:F102" si="18">E93*1000</f>
        <v>52650000</v>
      </c>
      <c r="G93" s="54"/>
      <c r="H93" s="385"/>
      <c r="I93" s="170">
        <f>SUM(I94:I96)</f>
        <v>5650000</v>
      </c>
      <c r="J93" s="174"/>
      <c r="U93" s="158"/>
      <c r="V93" s="158"/>
      <c r="W93" s="158"/>
      <c r="X93" s="158"/>
      <c r="Y93" s="159"/>
      <c r="Z93" s="170"/>
      <c r="AA93" s="54"/>
      <c r="AB93" s="54"/>
      <c r="AC93" s="170"/>
    </row>
    <row r="94" spans="1:29" x14ac:dyDescent="0.3">
      <c r="C94" s="161" t="s">
        <v>108</v>
      </c>
      <c r="E94" s="162">
        <v>2150</v>
      </c>
      <c r="F94" s="171">
        <f t="shared" si="18"/>
        <v>2150000</v>
      </c>
      <c r="I94" s="171">
        <f>F94</f>
        <v>2150000</v>
      </c>
    </row>
    <row r="95" spans="1:29" hidden="1" x14ac:dyDescent="0.3">
      <c r="C95" s="161" t="s">
        <v>109</v>
      </c>
      <c r="E95" s="162">
        <v>47000</v>
      </c>
      <c r="F95" s="171">
        <f t="shared" si="18"/>
        <v>47000000</v>
      </c>
    </row>
    <row r="96" spans="1:29" x14ac:dyDescent="0.3">
      <c r="C96" s="161" t="s">
        <v>110</v>
      </c>
      <c r="E96" s="162">
        <v>3500</v>
      </c>
      <c r="F96" s="171">
        <f t="shared" si="18"/>
        <v>3500000</v>
      </c>
      <c r="I96" s="171">
        <f t="shared" ref="I96" si="19">F96</f>
        <v>3500000</v>
      </c>
    </row>
    <row r="97" spans="1:29" s="2" customFormat="1" x14ac:dyDescent="0.3">
      <c r="A97" s="158"/>
      <c r="B97" s="158" t="s">
        <v>111</v>
      </c>
      <c r="C97" s="158"/>
      <c r="D97" s="158"/>
      <c r="E97" s="159">
        <v>296500</v>
      </c>
      <c r="F97" s="170">
        <f t="shared" si="18"/>
        <v>296500000</v>
      </c>
      <c r="G97" s="54"/>
      <c r="H97" s="385"/>
      <c r="I97" s="170">
        <f>SUM(I98:I101)</f>
        <v>121500000</v>
      </c>
      <c r="J97" s="174"/>
      <c r="U97" s="158"/>
      <c r="V97" s="158"/>
      <c r="W97" s="158"/>
      <c r="X97" s="158"/>
      <c r="Y97" s="159"/>
      <c r="Z97" s="170"/>
      <c r="AA97" s="54"/>
      <c r="AB97" s="54"/>
      <c r="AC97" s="170"/>
    </row>
    <row r="98" spans="1:29" x14ac:dyDescent="0.3">
      <c r="C98" s="161" t="s">
        <v>112</v>
      </c>
      <c r="E98" s="162">
        <v>119000</v>
      </c>
      <c r="F98" s="171">
        <f t="shared" si="18"/>
        <v>119000000</v>
      </c>
      <c r="I98" s="171">
        <f>F98</f>
        <v>119000000</v>
      </c>
    </row>
    <row r="99" spans="1:29" hidden="1" x14ac:dyDescent="0.3">
      <c r="C99" s="161" t="s">
        <v>113</v>
      </c>
      <c r="E99" s="162">
        <v>75000</v>
      </c>
      <c r="F99" s="171">
        <f t="shared" si="18"/>
        <v>75000000</v>
      </c>
    </row>
    <row r="100" spans="1:29" hidden="1" x14ac:dyDescent="0.3">
      <c r="C100" s="161" t="s">
        <v>114</v>
      </c>
      <c r="E100" s="162">
        <v>100000</v>
      </c>
      <c r="F100" s="171">
        <f t="shared" si="18"/>
        <v>100000000</v>
      </c>
    </row>
    <row r="101" spans="1:29" x14ac:dyDescent="0.3">
      <c r="C101" s="161" t="s">
        <v>115</v>
      </c>
      <c r="E101" s="162">
        <v>2500</v>
      </c>
      <c r="F101" s="171">
        <f t="shared" si="18"/>
        <v>2500000</v>
      </c>
      <c r="I101" s="171">
        <f t="shared" ref="I101" si="20">F101</f>
        <v>2500000</v>
      </c>
    </row>
    <row r="102" spans="1:29" s="39" customFormat="1" ht="18" x14ac:dyDescent="0.35">
      <c r="A102" s="158"/>
      <c r="B102" s="180" t="s">
        <v>116</v>
      </c>
      <c r="C102" s="180"/>
      <c r="D102" s="180"/>
      <c r="E102" s="181">
        <v>1646952</v>
      </c>
      <c r="F102" s="182">
        <f t="shared" si="18"/>
        <v>1646952000</v>
      </c>
      <c r="G102" s="183"/>
      <c r="H102" s="384"/>
      <c r="I102" s="182">
        <f>I104+I110+I113+I116</f>
        <v>1380352000</v>
      </c>
      <c r="J102" s="301"/>
      <c r="U102" s="158"/>
    </row>
    <row r="103" spans="1:29" s="39" customFormat="1" ht="18" hidden="1" x14ac:dyDescent="0.35">
      <c r="A103" s="158"/>
      <c r="B103" s="158"/>
      <c r="C103" s="158"/>
      <c r="D103" s="158"/>
      <c r="E103" s="159"/>
      <c r="F103" s="170"/>
      <c r="G103" s="54"/>
      <c r="H103" s="385"/>
      <c r="I103" s="170"/>
      <c r="J103" s="174"/>
      <c r="U103" s="158"/>
      <c r="V103" s="158"/>
      <c r="W103" s="158"/>
      <c r="X103" s="158"/>
      <c r="Y103" s="159"/>
      <c r="Z103" s="170"/>
      <c r="AA103" s="54"/>
      <c r="AB103" s="54"/>
      <c r="AC103" s="170"/>
    </row>
    <row r="104" spans="1:29" s="2" customFormat="1" x14ac:dyDescent="0.3">
      <c r="A104" s="158"/>
      <c r="B104" s="158" t="s">
        <v>117</v>
      </c>
      <c r="C104" s="158"/>
      <c r="D104" s="158"/>
      <c r="E104" s="159">
        <v>109952</v>
      </c>
      <c r="F104" s="170">
        <f>E104*1000</f>
        <v>109952000</v>
      </c>
      <c r="G104" s="54"/>
      <c r="H104" s="385"/>
      <c r="I104" s="170">
        <f>SUM(I105:I107)</f>
        <v>73352000</v>
      </c>
      <c r="J104" s="174"/>
      <c r="U104" s="158"/>
      <c r="V104" s="180" t="s">
        <v>128</v>
      </c>
      <c r="W104" s="180"/>
      <c r="X104" s="180"/>
      <c r="Y104" s="181">
        <v>6427031</v>
      </c>
      <c r="Z104" s="182">
        <f>Y104*1000</f>
        <v>6427031000</v>
      </c>
      <c r="AA104" s="183"/>
      <c r="AB104" s="183"/>
      <c r="AC104" s="182">
        <f>AC121+AC125</f>
        <v>0</v>
      </c>
    </row>
    <row r="105" spans="1:29" hidden="1" x14ac:dyDescent="0.3">
      <c r="C105" s="161" t="s">
        <v>118</v>
      </c>
      <c r="E105" s="162">
        <v>12500</v>
      </c>
      <c r="F105" s="171">
        <f>E105*1000</f>
        <v>12500000</v>
      </c>
    </row>
    <row r="106" spans="1:29" x14ac:dyDescent="0.3">
      <c r="C106" s="161" t="s">
        <v>119</v>
      </c>
      <c r="E106" s="162">
        <v>73352</v>
      </c>
      <c r="F106" s="171">
        <f>E106*1000</f>
        <v>73352000</v>
      </c>
      <c r="I106" s="171">
        <f>F106</f>
        <v>73352000</v>
      </c>
      <c r="K106" s="175" t="s">
        <v>859</v>
      </c>
    </row>
    <row r="107" spans="1:29" hidden="1" x14ac:dyDescent="0.3">
      <c r="C107" s="161" t="s">
        <v>120</v>
      </c>
      <c r="E107" s="162">
        <v>1100</v>
      </c>
      <c r="F107" s="171">
        <f>E107*1000</f>
        <v>1100000</v>
      </c>
    </row>
    <row r="108" spans="1:29" hidden="1" x14ac:dyDescent="0.3">
      <c r="C108" s="161" t="s">
        <v>121</v>
      </c>
      <c r="E108" s="162">
        <v>23000</v>
      </c>
      <c r="F108" s="171">
        <f>E108*1000</f>
        <v>23000000</v>
      </c>
    </row>
    <row r="109" spans="1:29" hidden="1" x14ac:dyDescent="0.3"/>
    <row r="110" spans="1:29" s="2" customFormat="1" x14ac:dyDescent="0.3">
      <c r="A110" s="158"/>
      <c r="B110" s="158" t="s">
        <v>122</v>
      </c>
      <c r="C110" s="158"/>
      <c r="D110" s="158"/>
      <c r="E110" s="159">
        <v>1209000</v>
      </c>
      <c r="F110" s="170">
        <f>E110*1000</f>
        <v>1209000000</v>
      </c>
      <c r="G110" s="54"/>
      <c r="H110" s="385"/>
      <c r="I110" s="170">
        <f>SUM(I111)</f>
        <v>1209000000</v>
      </c>
      <c r="J110" s="174"/>
      <c r="U110" s="158"/>
      <c r="V110" s="158"/>
      <c r="W110" s="158"/>
      <c r="X110" s="158"/>
      <c r="Y110" s="159"/>
      <c r="Z110" s="170"/>
      <c r="AA110" s="54"/>
      <c r="AB110" s="54"/>
      <c r="AC110" s="170"/>
    </row>
    <row r="111" spans="1:29" x14ac:dyDescent="0.3">
      <c r="C111" s="161" t="s">
        <v>123</v>
      </c>
      <c r="E111" s="162">
        <v>1209000</v>
      </c>
      <c r="F111" s="171">
        <f>E111*1000</f>
        <v>1209000000</v>
      </c>
      <c r="I111" s="171">
        <f>F111</f>
        <v>1209000000</v>
      </c>
      <c r="K111" s="175" t="s">
        <v>859</v>
      </c>
    </row>
    <row r="112" spans="1:29" hidden="1" x14ac:dyDescent="0.3"/>
    <row r="113" spans="1:29" s="2" customFormat="1" x14ac:dyDescent="0.3">
      <c r="A113" s="158"/>
      <c r="B113" s="158" t="s">
        <v>124</v>
      </c>
      <c r="C113" s="158"/>
      <c r="D113" s="158"/>
      <c r="E113" s="159">
        <v>98000</v>
      </c>
      <c r="F113" s="170">
        <f>E113*1000</f>
        <v>98000000</v>
      </c>
      <c r="G113" s="54"/>
      <c r="H113" s="385"/>
      <c r="I113" s="170">
        <f>SUM(I114)</f>
        <v>98000000</v>
      </c>
      <c r="J113" s="174"/>
      <c r="U113" s="158"/>
      <c r="V113" s="158"/>
      <c r="W113" s="158"/>
      <c r="X113" s="158"/>
      <c r="Y113" s="159"/>
      <c r="Z113" s="170"/>
      <c r="AA113" s="54"/>
      <c r="AB113" s="54"/>
      <c r="AC113" s="170"/>
    </row>
    <row r="114" spans="1:29" x14ac:dyDescent="0.3">
      <c r="C114" s="161" t="s">
        <v>125</v>
      </c>
      <c r="E114" s="162">
        <v>98000</v>
      </c>
      <c r="F114" s="171">
        <f>E114*1000</f>
        <v>98000000</v>
      </c>
      <c r="I114" s="171">
        <f>F114</f>
        <v>98000000</v>
      </c>
      <c r="K114" s="175" t="s">
        <v>859</v>
      </c>
    </row>
    <row r="115" spans="1:29" hidden="1" x14ac:dyDescent="0.3"/>
    <row r="116" spans="1:29" s="2" customFormat="1" hidden="1" x14ac:dyDescent="0.3">
      <c r="A116" s="158"/>
      <c r="B116" s="158" t="s">
        <v>126</v>
      </c>
      <c r="C116" s="158"/>
      <c r="D116" s="158"/>
      <c r="E116" s="159">
        <v>230000</v>
      </c>
      <c r="F116" s="170">
        <f>E116*1000</f>
        <v>230000000</v>
      </c>
      <c r="G116" s="54"/>
      <c r="H116" s="385"/>
      <c r="I116" s="170">
        <f>SUM(I117)</f>
        <v>0</v>
      </c>
      <c r="J116" s="174"/>
      <c r="U116" s="158"/>
      <c r="V116" s="158" t="s">
        <v>126</v>
      </c>
      <c r="W116" s="158"/>
      <c r="X116" s="158"/>
      <c r="Y116" s="159">
        <v>230000</v>
      </c>
      <c r="Z116" s="170">
        <f>Y116*1000</f>
        <v>230000000</v>
      </c>
      <c r="AA116" s="54"/>
      <c r="AB116" s="54"/>
      <c r="AC116" s="170">
        <f>SUM(AC117)</f>
        <v>0</v>
      </c>
    </row>
    <row r="117" spans="1:29" hidden="1" x14ac:dyDescent="0.3">
      <c r="C117" s="161" t="s">
        <v>127</v>
      </c>
      <c r="E117" s="162">
        <v>230000</v>
      </c>
      <c r="F117" s="171">
        <f>E117*1000</f>
        <v>230000000</v>
      </c>
      <c r="W117" s="161" t="s">
        <v>127</v>
      </c>
      <c r="Y117" s="162">
        <v>230000</v>
      </c>
      <c r="Z117" s="171">
        <f>Y117*1000</f>
        <v>230000000</v>
      </c>
    </row>
    <row r="118" spans="1:29" hidden="1" x14ac:dyDescent="0.3"/>
    <row r="119" spans="1:29" s="39" customFormat="1" ht="18" x14ac:dyDescent="0.35">
      <c r="A119" s="158"/>
      <c r="B119" s="180" t="s">
        <v>128</v>
      </c>
      <c r="C119" s="180"/>
      <c r="D119" s="180"/>
      <c r="E119" s="181">
        <v>6427031</v>
      </c>
      <c r="F119" s="182">
        <f>E119*1000</f>
        <v>6427031000</v>
      </c>
      <c r="G119" s="183"/>
      <c r="H119" s="384"/>
      <c r="I119" s="182">
        <f>I121+I125</f>
        <v>398000000</v>
      </c>
      <c r="J119" s="301"/>
      <c r="U119" s="158"/>
    </row>
    <row r="120" spans="1:29" s="2" customFormat="1" hidden="1" x14ac:dyDescent="0.3">
      <c r="A120" s="158"/>
      <c r="B120" s="158"/>
      <c r="C120" s="158"/>
      <c r="D120" s="158"/>
      <c r="E120" s="159"/>
      <c r="F120" s="170"/>
      <c r="G120" s="54"/>
      <c r="H120" s="385"/>
      <c r="I120" s="170"/>
      <c r="J120" s="174"/>
      <c r="U120" s="158"/>
      <c r="V120" s="158"/>
      <c r="W120" s="158"/>
      <c r="X120" s="158"/>
      <c r="Y120" s="159"/>
      <c r="Z120" s="170"/>
      <c r="AA120" s="54"/>
      <c r="AB120" s="54"/>
      <c r="AC120" s="170"/>
    </row>
    <row r="121" spans="1:29" s="2" customFormat="1" x14ac:dyDescent="0.3">
      <c r="A121" s="158"/>
      <c r="B121" s="158" t="s">
        <v>129</v>
      </c>
      <c r="C121" s="158"/>
      <c r="D121" s="158"/>
      <c r="E121" s="159">
        <v>466800</v>
      </c>
      <c r="F121" s="173">
        <f>E121*1000</f>
        <v>466800000</v>
      </c>
      <c r="G121" s="54"/>
      <c r="H121" s="385"/>
      <c r="I121" s="170">
        <f>SUM(I122:I123)</f>
        <v>398000000</v>
      </c>
      <c r="J121" s="174"/>
      <c r="U121" s="158"/>
      <c r="V121" s="158"/>
      <c r="W121" s="158"/>
      <c r="X121" s="158"/>
      <c r="Y121" s="159"/>
      <c r="Z121" s="173"/>
      <c r="AA121" s="54"/>
      <c r="AB121" s="54"/>
      <c r="AC121" s="170"/>
    </row>
    <row r="122" spans="1:29" hidden="1" x14ac:dyDescent="0.3">
      <c r="C122" s="161" t="s">
        <v>130</v>
      </c>
      <c r="E122" s="162">
        <v>68800</v>
      </c>
      <c r="F122" s="171">
        <f>E122*1000</f>
        <v>68800000</v>
      </c>
    </row>
    <row r="123" spans="1:29" x14ac:dyDescent="0.3">
      <c r="C123" s="161" t="s">
        <v>131</v>
      </c>
      <c r="E123" s="162">
        <v>398000</v>
      </c>
      <c r="F123" s="171">
        <f>E123*1000</f>
        <v>398000000</v>
      </c>
      <c r="I123" s="171">
        <f>F123</f>
        <v>398000000</v>
      </c>
      <c r="K123" s="175" t="s">
        <v>859</v>
      </c>
    </row>
    <row r="124" spans="1:29" hidden="1" x14ac:dyDescent="0.3"/>
    <row r="125" spans="1:29" s="2" customFormat="1" hidden="1" x14ac:dyDescent="0.3">
      <c r="A125" s="158"/>
      <c r="B125" s="158" t="s">
        <v>132</v>
      </c>
      <c r="C125" s="158"/>
      <c r="D125" s="158"/>
      <c r="E125" s="159">
        <v>5960231</v>
      </c>
      <c r="F125" s="173">
        <f>E125*1000</f>
        <v>5960231000</v>
      </c>
      <c r="G125" s="54"/>
      <c r="H125" s="385"/>
      <c r="I125" s="170">
        <f>SUM(I126)</f>
        <v>0</v>
      </c>
      <c r="J125" s="174"/>
      <c r="U125" s="158"/>
      <c r="V125" s="158" t="s">
        <v>132</v>
      </c>
      <c r="W125" s="158"/>
      <c r="X125" s="158"/>
      <c r="Y125" s="159">
        <v>5960231</v>
      </c>
      <c r="Z125" s="173">
        <f>Y125*1000</f>
        <v>5960231000</v>
      </c>
      <c r="AA125" s="54"/>
      <c r="AB125" s="54"/>
      <c r="AC125" s="170">
        <f>SUM(AC126)</f>
        <v>0</v>
      </c>
    </row>
    <row r="126" spans="1:29" hidden="1" x14ac:dyDescent="0.3">
      <c r="C126" s="161" t="s">
        <v>133</v>
      </c>
      <c r="E126" s="162">
        <v>5960231</v>
      </c>
      <c r="F126" s="171">
        <f>E126*1000</f>
        <v>5960231000</v>
      </c>
      <c r="K126" s="175" t="s">
        <v>859</v>
      </c>
      <c r="W126" s="161" t="s">
        <v>133</v>
      </c>
      <c r="Y126" s="162">
        <v>5960231</v>
      </c>
      <c r="Z126" s="171">
        <f>Y126*1000</f>
        <v>5960231000</v>
      </c>
    </row>
  </sheetData>
  <hyperlinks>
    <hyperlink ref="B2" r:id="rId1" display="http://budjetti.vm.fi/indox/sisalto.jsp?year=2016&amp;lang=fi&amp;maindoc=/2016/aky/aky.xml&amp;id=/2016/aky/YksityiskohtaisetPerustelut/11/11.html" xr:uid="{00000000-0004-0000-0000-000000000000}"/>
    <hyperlink ref="B3" r:id="rId2" display="http://budjetti.vm.fi/indox/sisalto.jsp?year=2016&amp;lang=fi&amp;maindoc=/2016/aky/aky.xml&amp;id=/2016/aky/YksityiskohtaisetPerustelut/11/01/01.html" xr:uid="{00000000-0004-0000-0000-000001000000}"/>
    <hyperlink ref="C4" r:id="rId3" display="http://budjetti.vm.fi/indox/sisalto.jsp?year=2016&amp;lang=fi&amp;maindoc=/2016/aky/aky.xml&amp;id=/2016/aky/YksityiskohtaisetPerustelut/11/01/01/01.html" xr:uid="{00000000-0004-0000-0000-000002000000}"/>
    <hyperlink ref="C5" r:id="rId4" display="http://budjetti.vm.fi/indox/sisalto.jsp?year=2016&amp;lang=fi&amp;maindoc=/2016/aky/aky.xml&amp;id=/2016/aky/YksityiskohtaisetPerustelut/11/01/02/02.html" xr:uid="{00000000-0004-0000-0000-000003000000}"/>
    <hyperlink ref="B8" r:id="rId5" display="http://budjetti.vm.fi/indox/sisalto.jsp?year=2016&amp;lang=fi&amp;maindoc=/2016/aky/aky.xml&amp;id=/2016/aky/YksityiskohtaisetPerustelut/11/04/04.html" xr:uid="{00000000-0004-0000-0000-000004000000}"/>
    <hyperlink ref="C7" r:id="rId6" display="http://budjetti.vm.fi/indox/sisalto.jsp?year=2016&amp;lang=fi&amp;maindoc=/2016/aky/aky.xml&amp;id=/2016/aky/YksityiskohtaisetPerustelut/11/01/04/04.html" xr:uid="{00000000-0004-0000-0000-000005000000}"/>
    <hyperlink ref="B12" r:id="rId7" display="http://budjetti.vm.fi/indox/sisalto.jsp?year=2016&amp;lang=fi&amp;maindoc=/2016/aky/aky.xml&amp;id=/2016/aky/YksityiskohtaisetPerustelut/11/08/08.html" xr:uid="{00000000-0004-0000-0000-000006000000}"/>
    <hyperlink ref="C11" r:id="rId8" display="http://budjetti.vm.fi/indox/sisalto.jsp?year=2016&amp;lang=fi&amp;maindoc=/2016/aky/aky.xml&amp;id=/2016/aky/YksityiskohtaisetPerustelut/11/04/03/03.html" xr:uid="{00000000-0004-0000-0000-000007000000}"/>
    <hyperlink ref="C14" r:id="rId9" display="http://budjetti.vm.fi/indox/sisalto.jsp?year=2016&amp;lang=fi&amp;maindoc=/2016/aky/aky.xml&amp;id=/2016/aky/YksityiskohtaisetPerustelut/11/08/04/04.html" xr:uid="{00000000-0004-0000-0000-000008000000}"/>
    <hyperlink ref="C15" r:id="rId10" display="http://budjetti.vm.fi/indox/sisalto.jsp?year=2016&amp;lang=fi&amp;maindoc=/2016/aky/aky.xml&amp;id=/2016/aky/YksityiskohtaisetPerustelut/11/08/05/05.html" xr:uid="{00000000-0004-0000-0000-000009000000}"/>
    <hyperlink ref="C17" r:id="rId11" display="http://budjetti.vm.fi/indox/sisalto.jsp?year=2016&amp;lang=fi&amp;maindoc=/2016/aky/aky.xml&amp;id=/2016/aky/YksityiskohtaisetPerustelut/11/08/08/08.html" xr:uid="{00000000-0004-0000-0000-00000A000000}"/>
    <hyperlink ref="B18" r:id="rId12" display="http://budjetti.vm.fi/indox/sisalto.jsp?year=2016&amp;lang=fi&amp;maindoc=/2016/aky/aky.xml&amp;id=/2016/aky/YksityiskohtaisetPerustelut/11/10/10.html" xr:uid="{00000000-0004-0000-0000-00000B000000}"/>
    <hyperlink ref="C19" r:id="rId13" display="http://budjetti.vm.fi/indox/sisalto.jsp?year=2016&amp;lang=fi&amp;maindoc=/2016/aky/aky.xml&amp;id=/2016/aky/YksityiskohtaisetPerustelut/11/10/03/03.html" xr:uid="{00000000-0004-0000-0000-00000C000000}"/>
    <hyperlink ref="C20" r:id="rId14" display="http://budjetti.vm.fi/indox/sisalto.jsp?year=2016&amp;lang=fi&amp;maindoc=/2016/aky/aky.xml&amp;id=/2016/aky/YksityiskohtaisetPerustelut/11/10/05/05.html" xr:uid="{00000000-0004-0000-0000-00000D000000}"/>
    <hyperlink ref="C21" r:id="rId15" display="http://budjetti.vm.fi/indox/sisalto.jsp?year=2016&amp;lang=fi&amp;maindoc=/2016/aky/aky.xml&amp;id=/2016/aky/YksityiskohtaisetPerustelut/11/10/06/06.html" xr:uid="{00000000-0004-0000-0000-00000E000000}"/>
    <hyperlink ref="C22" r:id="rId16" display="http://budjetti.vm.fi/indox/sisalto.jsp?year=2016&amp;lang=fi&amp;maindoc=/2016/aky/aky.xml&amp;id=/2016/aky/YksityiskohtaisetPerustelut/11/10/07/07.html" xr:uid="{00000000-0004-0000-0000-00000F000000}"/>
    <hyperlink ref="C23" r:id="rId17" display="http://budjetti.vm.fi/indox/sisalto.jsp?year=2016&amp;lang=fi&amp;maindoc=/2016/aky/aky.xml&amp;id=/2016/aky/YksityiskohtaisetPerustelut/11/10/08/08.html" xr:uid="{00000000-0004-0000-0000-000010000000}"/>
    <hyperlink ref="B24" r:id="rId18" display="http://budjetti.vm.fi/indox/sisalto.jsp?year=2016&amp;lang=fi&amp;maindoc=/2016/aky/aky.xml&amp;id=/2016/aky/YksityiskohtaisetPerustelut/11/19/19.html" xr:uid="{00000000-0004-0000-0000-000011000000}"/>
    <hyperlink ref="C25" r:id="rId19" display="http://budjetti.vm.fi/indox/sisalto.jsp?year=2016&amp;lang=fi&amp;maindoc=/2016/aky/aky.xml&amp;id=/2016/aky/YksityiskohtaisetPerustelut/11/19/03/03.html" xr:uid="{00000000-0004-0000-0000-000012000000}"/>
    <hyperlink ref="C26" r:id="rId20" display="http://budjetti.vm.fi/indox/sisalto.jsp?year=2016&amp;lang=fi&amp;maindoc=/2016/aky/aky.xml&amp;id=/2016/aky/YksityiskohtaisetPerustelut/11/19/04/04.html" xr:uid="{00000000-0004-0000-0000-000013000000}"/>
    <hyperlink ref="C27" r:id="rId21" display="http://budjetti.vm.fi/indox/sisalto.jsp?year=2016&amp;lang=fi&amp;maindoc=/2016/aky/aky.xml&amp;id=/2016/aky/YksityiskohtaisetPerustelut/11/19/05/05.html" xr:uid="{00000000-0004-0000-0000-000014000000}"/>
    <hyperlink ref="C28" r:id="rId22" display="http://budjetti.vm.fi/indox/sisalto.jsp?year=2016&amp;lang=fi&amp;maindoc=/2016/aky/aky.xml&amp;id=/2016/aky/YksityiskohtaisetPerustelut/11/19/06/06.html" xr:uid="{00000000-0004-0000-0000-000015000000}"/>
    <hyperlink ref="C29" r:id="rId23" display="http://budjetti.vm.fi/indox/sisalto.jsp?year=2016&amp;lang=fi&amp;maindoc=/2016/aky/aky.xml&amp;id=/2016/aky/YksityiskohtaisetPerustelut/11/19/08/08.html" xr:uid="{00000000-0004-0000-0000-000016000000}"/>
    <hyperlink ref="C30" r:id="rId24" display="http://budjetti.vm.fi/indox/sisalto.jsp?year=2016&amp;lang=fi&amp;maindoc=/2016/aky/aky.xml&amp;id=/2016/aky/YksityiskohtaisetPerustelut/11/19/09/09.html" xr:uid="{00000000-0004-0000-0000-000017000000}"/>
    <hyperlink ref="C31" r:id="rId25" display="http://budjetti.vm.fi/indox/sisalto.jsp?year=2016&amp;lang=fi&amp;maindoc=/2016/aky/aky.xml&amp;id=/2016/aky/YksityiskohtaisetPerustelut/11/19/10/10.html" xr:uid="{00000000-0004-0000-0000-000018000000}"/>
    <hyperlink ref="C32" r:id="rId26" display="http://budjetti.vm.fi/indox/sisalto.jsp?year=2016&amp;lang=fi&amp;maindoc=/2016/aky/aky.xml&amp;id=/2016/aky/YksityiskohtaisetPerustelut/11/19/11/11.html" xr:uid="{00000000-0004-0000-0000-000019000000}"/>
    <hyperlink ref="B33" r:id="rId27" display="http://budjetti.vm.fi/indox/sisalto.jsp?year=2016&amp;lang=fi&amp;maindoc=/2016/aky/aky.xml&amp;id=/2016/aky/YksityiskohtaisetPerustelut/12/12.html" xr:uid="{00000000-0004-0000-0000-00001A000000}"/>
    <hyperlink ref="B34" r:id="rId28" display="http://budjetti.vm.fi/indox/sisalto.jsp?year=2016&amp;lang=fi&amp;maindoc=/2016/aky/aky.xml&amp;id=/2016/aky/YksityiskohtaisetPerustelut/12/24/24.html" xr:uid="{00000000-0004-0000-0000-00001B000000}"/>
    <hyperlink ref="C35" r:id="rId29" display="http://budjetti.vm.fi/indox/sisalto.jsp?year=2016&amp;lang=fi&amp;maindoc=/2016/aky/aky.xml&amp;id=/2016/aky/YksityiskohtaisetPerustelut/12/24/99/99.html" xr:uid="{00000000-0004-0000-0000-00001C000000}"/>
    <hyperlink ref="B36" r:id="rId30" display="http://budjetti.vm.fi/indox/sisalto.jsp?year=2016&amp;lang=fi&amp;maindoc=/2016/aky/aky.xml&amp;id=/2016/aky/YksityiskohtaisetPerustelut/12/25/25.html" xr:uid="{00000000-0004-0000-0000-00001D000000}"/>
    <hyperlink ref="C37" r:id="rId31" display="http://budjetti.vm.fi/indox/sisalto.jsp?year=2016&amp;lang=fi&amp;maindoc=/2016/aky/aky.xml&amp;id=/2016/aky/YksityiskohtaisetPerustelut/12/25/10/10.html" xr:uid="{00000000-0004-0000-0000-00001E000000}"/>
    <hyperlink ref="C38" r:id="rId32" display="http://budjetti.vm.fi/indox/sisalto.jsp?year=2016&amp;lang=fi&amp;maindoc=/2016/aky/aky.xml&amp;id=/2016/aky/YksityiskohtaisetPerustelut/12/25/15/15.html" xr:uid="{00000000-0004-0000-0000-00001F000000}"/>
    <hyperlink ref="C39" r:id="rId33" display="http://budjetti.vm.fi/indox/sisalto.jsp?year=2016&amp;lang=fi&amp;maindoc=/2016/aky/aky.xml&amp;id=/2016/aky/YksityiskohtaisetPerustelut/12/25/20/20.html" xr:uid="{00000000-0004-0000-0000-000020000000}"/>
    <hyperlink ref="C40" r:id="rId34" display="http://budjetti.vm.fi/indox/sisalto.jsp?year=2016&amp;lang=fi&amp;maindoc=/2016/aky/aky.xml&amp;id=/2016/aky/YksityiskohtaisetPerustelut/12/25/99/99.html" xr:uid="{00000000-0004-0000-0000-000021000000}"/>
    <hyperlink ref="B41" r:id="rId35" display="http://budjetti.vm.fi/indox/sisalto.jsp?year=2016&amp;lang=fi&amp;maindoc=/2016/aky/aky.xml&amp;id=/2016/aky/YksityiskohtaisetPerustelut/12/26/26.html" xr:uid="{00000000-0004-0000-0000-000022000000}"/>
    <hyperlink ref="C42" r:id="rId36" display="http://budjetti.vm.fi/indox/sisalto.jsp?year=2016&amp;lang=fi&amp;maindoc=/2016/aky/aky.xml&amp;id=/2016/aky/YksityiskohtaisetPerustelut/12/26/98/98.html" xr:uid="{00000000-0004-0000-0000-000023000000}"/>
    <hyperlink ref="C43" r:id="rId37" display="http://budjetti.vm.fi/indox/sisalto.jsp?year=2016&amp;lang=fi&amp;maindoc=/2016/aky/aky.xml&amp;id=/2016/aky/YksityiskohtaisetPerustelut/12/26/99/99.html" xr:uid="{00000000-0004-0000-0000-000024000000}"/>
    <hyperlink ref="B44" r:id="rId38" display="http://budjetti.vm.fi/indox/sisalto.jsp?year=2016&amp;lang=fi&amp;maindoc=/2016/aky/aky.xml&amp;id=/2016/aky/YksityiskohtaisetPerustelut/12/27/27.html" xr:uid="{00000000-0004-0000-0000-000025000000}"/>
    <hyperlink ref="C45" r:id="rId39" display="http://budjetti.vm.fi/indox/sisalto.jsp?year=2016&amp;lang=fi&amp;maindoc=/2016/aky/aky.xml&amp;id=/2016/aky/YksityiskohtaisetPerustelut/12/27/01/01.html" xr:uid="{00000000-0004-0000-0000-000026000000}"/>
    <hyperlink ref="C46" r:id="rId40" display="http://budjetti.vm.fi/indox/sisalto.jsp?year=2016&amp;lang=fi&amp;maindoc=/2016/aky/aky.xml&amp;id=/2016/aky/YksityiskohtaisetPerustelut/12/27/20/20.html" xr:uid="{00000000-0004-0000-0000-000027000000}"/>
    <hyperlink ref="C47" r:id="rId41" display="http://budjetti.vm.fi/indox/sisalto.jsp?year=2016&amp;lang=fi&amp;maindoc=/2016/aky/aky.xml&amp;id=/2016/aky/YksityiskohtaisetPerustelut/12/27/99/99.html" xr:uid="{00000000-0004-0000-0000-000028000000}"/>
    <hyperlink ref="B48" r:id="rId42" display="http://budjetti.vm.fi/indox/sisalto.jsp?year=2016&amp;lang=fi&amp;maindoc=/2016/aky/aky.xml&amp;id=/2016/aky/YksityiskohtaisetPerustelut/12/28/28.html" xr:uid="{00000000-0004-0000-0000-000029000000}"/>
    <hyperlink ref="C49" r:id="rId43" display="http://budjetti.vm.fi/indox/sisalto.jsp?year=2016&amp;lang=fi&amp;maindoc=/2016/aky/aky.xml&amp;id=/2016/aky/YksityiskohtaisetPerustelut/12/28/10/10.html" xr:uid="{00000000-0004-0000-0000-00002A000000}"/>
    <hyperlink ref="C50" r:id="rId44" display="http://budjetti.vm.fi/indox/sisalto.jsp?year=2016&amp;lang=fi&amp;maindoc=/2016/aky/aky.xml&amp;id=/2016/aky/YksityiskohtaisetPerustelut/12/28/11/11.html" xr:uid="{00000000-0004-0000-0000-00002B000000}"/>
    <hyperlink ref="C51" r:id="rId45" display="http://budjetti.vm.fi/indox/sisalto.jsp?year=2016&amp;lang=fi&amp;maindoc=/2016/aky/aky.xml&amp;id=/2016/aky/YksityiskohtaisetPerustelut/12/28/12/12.html" xr:uid="{00000000-0004-0000-0000-00002C000000}"/>
    <hyperlink ref="C52" r:id="rId46" display="http://budjetti.vm.fi/indox/sisalto.jsp?year=2016&amp;lang=fi&amp;maindoc=/2016/aky/aky.xml&amp;id=/2016/aky/YksityiskohtaisetPerustelut/12/28/13/13.html" xr:uid="{00000000-0004-0000-0000-00002D000000}"/>
    <hyperlink ref="C53" r:id="rId47" display="http://budjetti.vm.fi/indox/sisalto.jsp?year=2016&amp;lang=fi&amp;maindoc=/2016/aky/aky.xml&amp;id=/2016/aky/YksityiskohtaisetPerustelut/12/28/20/20.html" xr:uid="{00000000-0004-0000-0000-00002E000000}"/>
    <hyperlink ref="C54" r:id="rId48" display="http://budjetti.vm.fi/indox/sisalto.jsp?year=2016&amp;lang=fi&amp;maindoc=/2016/aky/aky.xml&amp;id=/2016/aky/YksityiskohtaisetPerustelut/12/28/25/25.html" xr:uid="{00000000-0004-0000-0000-00002F000000}"/>
    <hyperlink ref="C55" r:id="rId49" display="http://budjetti.vm.fi/indox/sisalto.jsp?year=2016&amp;lang=fi&amp;maindoc=/2016/aky/aky.xml&amp;id=/2016/aky/YksityiskohtaisetPerustelut/12/28/50/50.html" xr:uid="{00000000-0004-0000-0000-000030000000}"/>
    <hyperlink ref="C56" r:id="rId50" display="http://budjetti.vm.fi/indox/sisalto.jsp?year=2016&amp;lang=fi&amp;maindoc=/2016/aky/aky.xml&amp;id=/2016/aky/YksityiskohtaisetPerustelut/12/28/51/51.html" xr:uid="{00000000-0004-0000-0000-000031000000}"/>
    <hyperlink ref="C57" r:id="rId51" display="http://budjetti.vm.fi/indox/sisalto.jsp?year=2016&amp;lang=fi&amp;maindoc=/2016/aky/aky.xml&amp;id=/2016/aky/YksityiskohtaisetPerustelut/12/28/52/52.html" xr:uid="{00000000-0004-0000-0000-000032000000}"/>
    <hyperlink ref="C58" r:id="rId52" display="http://budjetti.vm.fi/indox/sisalto.jsp?year=2016&amp;lang=fi&amp;maindoc=/2016/aky/aky.xml&amp;id=/2016/aky/YksityiskohtaisetPerustelut/12/28/60/60.html" xr:uid="{00000000-0004-0000-0000-000033000000}"/>
    <hyperlink ref="C59" r:id="rId53" display="http://budjetti.vm.fi/indox/sisalto.jsp?year=2016&amp;lang=fi&amp;maindoc=/2016/aky/aky.xml&amp;id=/2016/aky/YksityiskohtaisetPerustelut/12/28/92/92.html" xr:uid="{00000000-0004-0000-0000-000034000000}"/>
    <hyperlink ref="C60" r:id="rId54" display="http://budjetti.vm.fi/indox/sisalto.jsp?year=2016&amp;lang=fi&amp;maindoc=/2016/aky/aky.xml&amp;id=/2016/aky/YksityiskohtaisetPerustelut/12/28/93/93.html" xr:uid="{00000000-0004-0000-0000-000035000000}"/>
    <hyperlink ref="C61" r:id="rId55" display="http://budjetti.vm.fi/indox/sisalto.jsp?year=2016&amp;lang=fi&amp;maindoc=/2016/aky/aky.xml&amp;id=/2016/aky/YksityiskohtaisetPerustelut/12/28/99/99.html" xr:uid="{00000000-0004-0000-0000-000036000000}"/>
    <hyperlink ref="B62" r:id="rId56" display="http://budjetti.vm.fi/indox/sisalto.jsp?year=2016&amp;lang=fi&amp;maindoc=/2016/aky/aky.xml&amp;id=/2016/aky/YksityiskohtaisetPerustelut/12/29/29.html" xr:uid="{00000000-0004-0000-0000-000037000000}"/>
    <hyperlink ref="C63" r:id="rId57" display="http://budjetti.vm.fi/indox/sisalto.jsp?year=2016&amp;lang=fi&amp;maindoc=/2016/aky/aky.xml&amp;id=/2016/aky/YksityiskohtaisetPerustelut/12/29/70/70.html" xr:uid="{00000000-0004-0000-0000-000038000000}"/>
    <hyperlink ref="C64" r:id="rId58" display="http://budjetti.vm.fi/indox/sisalto.jsp?year=2016&amp;lang=fi&amp;maindoc=/2016/aky/aky.xml&amp;id=/2016/aky/YksityiskohtaisetPerustelut/12/29/88/88.html" xr:uid="{00000000-0004-0000-0000-000039000000}"/>
    <hyperlink ref="C65" r:id="rId59" display="http://budjetti.vm.fi/indox/sisalto.jsp?year=2016&amp;lang=fi&amp;maindoc=/2016/aky/aky.xml&amp;id=/2016/aky/YksityiskohtaisetPerustelut/12/29/99/99.html" xr:uid="{00000000-0004-0000-0000-00003A000000}"/>
    <hyperlink ref="B66" r:id="rId60" display="http://budjetti.vm.fi/indox/sisalto.jsp?year=2016&amp;lang=fi&amp;maindoc=/2016/aky/aky.xml&amp;id=/2016/aky/YksityiskohtaisetPerustelut/12/30/30.html" xr:uid="{00000000-0004-0000-0000-00003B000000}"/>
    <hyperlink ref="C67" r:id="rId61" display="http://budjetti.vm.fi/indox/sisalto.jsp?year=2016&amp;lang=fi&amp;maindoc=/2016/aky/aky.xml&amp;id=/2016/aky/YksityiskohtaisetPerustelut/12/30/01/01.html" xr:uid="{00000000-0004-0000-0000-00003C000000}"/>
    <hyperlink ref="C68" r:id="rId62" display="http://budjetti.vm.fi/indox/sisalto.jsp?year=2016&amp;lang=fi&amp;maindoc=/2016/aky/aky.xml&amp;id=/2016/aky/YksityiskohtaisetPerustelut/12/30/02/02.html" xr:uid="{00000000-0004-0000-0000-00003D000000}"/>
    <hyperlink ref="C69" r:id="rId63" display="http://budjetti.vm.fi/indox/sisalto.jsp?year=2016&amp;lang=fi&amp;maindoc=/2016/aky/aky.xml&amp;id=/2016/aky/YksityiskohtaisetPerustelut/12/30/03/03.html" xr:uid="{00000000-0004-0000-0000-00003E000000}"/>
    <hyperlink ref="C70" r:id="rId64" display="http://budjetti.vm.fi/indox/sisalto.jsp?year=2016&amp;lang=fi&amp;maindoc=/2016/aky/aky.xml&amp;id=/2016/aky/YksityiskohtaisetPerustelut/12/30/04/04.html" xr:uid="{00000000-0004-0000-0000-00003F000000}"/>
    <hyperlink ref="C71" r:id="rId65" display="http://budjetti.vm.fi/indox/sisalto.jsp?year=2016&amp;lang=fi&amp;maindoc=/2016/aky/aky.xml&amp;id=/2016/aky/YksityiskohtaisetPerustelut/12/30/20/20.html" xr:uid="{00000000-0004-0000-0000-000040000000}"/>
    <hyperlink ref="C72" r:id="rId66" display="http://budjetti.vm.fi/indox/sisalto.jsp?year=2016&amp;lang=fi&amp;maindoc=/2016/aky/aky.xml&amp;id=/2016/aky/YksityiskohtaisetPerustelut/12/30/40/40.html" xr:uid="{00000000-0004-0000-0000-000041000000}"/>
    <hyperlink ref="C73" r:id="rId67" display="http://budjetti.vm.fi/indox/sisalto.jsp?year=2016&amp;lang=fi&amp;maindoc=/2016/aky/aky.xml&amp;id=/2016/aky/YksityiskohtaisetPerustelut/12/30/41/41.html" xr:uid="{00000000-0004-0000-0000-000042000000}"/>
    <hyperlink ref="C74" r:id="rId68" display="http://budjetti.vm.fi/indox/sisalto.jsp?year=2016&amp;lang=fi&amp;maindoc=/2016/aky/aky.xml&amp;id=/2016/aky/YksityiskohtaisetPerustelut/12/30/42/42.html" xr:uid="{00000000-0004-0000-0000-000043000000}"/>
    <hyperlink ref="C75" r:id="rId69" display="http://budjetti.vm.fi/indox/sisalto.jsp?year=2016&amp;lang=fi&amp;maindoc=/2016/aky/aky.xml&amp;id=/2016/aky/YksityiskohtaisetPerustelut/12/30/44/44.html" xr:uid="{00000000-0004-0000-0000-000044000000}"/>
    <hyperlink ref="C76" r:id="rId70" display="http://budjetti.vm.fi/indox/sisalto.jsp?year=2016&amp;lang=fi&amp;maindoc=/2016/aky/aky.xml&amp;id=/2016/aky/YksityiskohtaisetPerustelut/12/30/45/45.html" xr:uid="{00000000-0004-0000-0000-000045000000}"/>
    <hyperlink ref="C77" r:id="rId71" display="http://budjetti.vm.fi/indox/sisalto.jsp?year=2016&amp;lang=fi&amp;maindoc=/2016/aky/aky.xml&amp;id=/2016/aky/YksityiskohtaisetPerustelut/12/30/99/99.html" xr:uid="{00000000-0004-0000-0000-000046000000}"/>
    <hyperlink ref="B78" r:id="rId72" display="http://budjetti.vm.fi/indox/sisalto.jsp?year=2016&amp;lang=fi&amp;maindoc=/2016/aky/aky.xml&amp;id=/2016/aky/YksityiskohtaisetPerustelut/12/31/31.html" xr:uid="{00000000-0004-0000-0000-000047000000}"/>
    <hyperlink ref="C79" r:id="rId73" display="http://budjetti.vm.fi/indox/sisalto.jsp?year=2016&amp;lang=fi&amp;maindoc=/2016/aky/aky.xml&amp;id=/2016/aky/YksityiskohtaisetPerustelut/12/31/10/10.html" xr:uid="{00000000-0004-0000-0000-000048000000}"/>
    <hyperlink ref="C80" r:id="rId74" display="http://budjetti.vm.fi/indox/sisalto.jsp?year=2016&amp;lang=fi&amp;maindoc=/2016/aky/aky.xml&amp;id=/2016/aky/YksityiskohtaisetPerustelut/12/31/99/99.html" xr:uid="{00000000-0004-0000-0000-000049000000}"/>
    <hyperlink ref="B81" r:id="rId75" display="http://budjetti.vm.fi/indox/sisalto.jsp?year=2016&amp;lang=fi&amp;maindoc=/2016/aky/aky.xml&amp;id=/2016/aky/YksityiskohtaisetPerustelut/12/32/32.html" xr:uid="{00000000-0004-0000-0000-00004A000000}"/>
    <hyperlink ref="C82" r:id="rId76" display="http://budjetti.vm.fi/indox/sisalto.jsp?year=2016&amp;lang=fi&amp;maindoc=/2016/aky/aky.xml&amp;id=/2016/aky/YksityiskohtaisetPerustelut/12/32/20/20.html" xr:uid="{00000000-0004-0000-0000-00004B000000}"/>
    <hyperlink ref="C83" r:id="rId77" display="http://budjetti.vm.fi/indox/sisalto.jsp?year=2016&amp;lang=fi&amp;maindoc=/2016/aky/aky.xml&amp;id=/2016/aky/YksityiskohtaisetPerustelut/12/32/30/30.html" xr:uid="{00000000-0004-0000-0000-00004C000000}"/>
    <hyperlink ref="C84" r:id="rId78" display="http://budjetti.vm.fi/indox/sisalto.jsp?year=2016&amp;lang=fi&amp;maindoc=/2016/aky/aky.xml&amp;id=/2016/aky/YksityiskohtaisetPerustelut/12/32/31/31.html" xr:uid="{00000000-0004-0000-0000-00004D000000}"/>
    <hyperlink ref="C85" r:id="rId79" display="http://budjetti.vm.fi/indox/sisalto.jsp?year=2016&amp;lang=fi&amp;maindoc=/2016/aky/aky.xml&amp;id=/2016/aky/YksityiskohtaisetPerustelut/12/32/50/50.html" xr:uid="{00000000-0004-0000-0000-00004E000000}"/>
    <hyperlink ref="C86" r:id="rId80" display="http://budjetti.vm.fi/indox/sisalto.jsp?year=2016&amp;lang=fi&amp;maindoc=/2016/aky/aky.xml&amp;id=/2016/aky/YksityiskohtaisetPerustelut/12/32/99/99.html" xr:uid="{00000000-0004-0000-0000-00004F000000}"/>
    <hyperlink ref="B87" r:id="rId81" display="http://budjetti.vm.fi/indox/sisalto.jsp?year=2016&amp;lang=fi&amp;maindoc=/2016/aky/aky.xml&amp;id=/2016/aky/YksityiskohtaisetPerustelut/12/33/33.html" xr:uid="{00000000-0004-0000-0000-000050000000}"/>
    <hyperlink ref="C88" r:id="rId82" display="http://budjetti.vm.fi/indox/sisalto.jsp?year=2016&amp;lang=fi&amp;maindoc=/2016/aky/aky.xml&amp;id=/2016/aky/YksityiskohtaisetPerustelut/12/33/02/02.html" xr:uid="{00000000-0004-0000-0000-000051000000}"/>
    <hyperlink ref="C89" r:id="rId83" display="http://budjetti.vm.fi/indox/sisalto.jsp?year=2016&amp;lang=fi&amp;maindoc=/2016/aky/aky.xml&amp;id=/2016/aky/YksityiskohtaisetPerustelut/12/33/03/03.html" xr:uid="{00000000-0004-0000-0000-000052000000}"/>
    <hyperlink ref="C90" r:id="rId84" display="http://budjetti.vm.fi/indox/sisalto.jsp?year=2016&amp;lang=fi&amp;maindoc=/2016/aky/aky.xml&amp;id=/2016/aky/YksityiskohtaisetPerustelut/12/33/90/90.html" xr:uid="{00000000-0004-0000-0000-000053000000}"/>
    <hyperlink ref="C91" r:id="rId85" display="http://budjetti.vm.fi/indox/sisalto.jsp?year=2016&amp;lang=fi&amp;maindoc=/2016/aky/aky.xml&amp;id=/2016/aky/YksityiskohtaisetPerustelut/12/33/98/98.html" xr:uid="{00000000-0004-0000-0000-000054000000}"/>
    <hyperlink ref="C92" r:id="rId86" display="http://budjetti.vm.fi/indox/sisalto.jsp?year=2016&amp;lang=fi&amp;maindoc=/2016/aky/aky.xml&amp;id=/2016/aky/YksityiskohtaisetPerustelut/12/33/99/99.html" xr:uid="{00000000-0004-0000-0000-000055000000}"/>
    <hyperlink ref="B93" r:id="rId87" display="http://budjetti.vm.fi/indox/sisalto.jsp?year=2016&amp;lang=fi&amp;maindoc=/2016/aky/aky.xml&amp;id=/2016/aky/YksityiskohtaisetPerustelut/12/35/35.html" xr:uid="{00000000-0004-0000-0000-000056000000}"/>
    <hyperlink ref="C94" r:id="rId88" display="http://budjetti.vm.fi/indox/sisalto.jsp?year=2016&amp;lang=fi&amp;maindoc=/2016/aky/aky.xml&amp;id=/2016/aky/YksityiskohtaisetPerustelut/12/35/10/10.html" xr:uid="{00000000-0004-0000-0000-000057000000}"/>
    <hyperlink ref="C95" r:id="rId89" display="http://budjetti.vm.fi/indox/sisalto.jsp?year=2016&amp;lang=fi&amp;maindoc=/2016/aky/aky.xml&amp;id=/2016/aky/YksityiskohtaisetPerustelut/12/35/20/20.html" xr:uid="{00000000-0004-0000-0000-000058000000}"/>
    <hyperlink ref="C96" r:id="rId90" display="http://budjetti.vm.fi/indox/sisalto.jsp?year=2016&amp;lang=fi&amp;maindoc=/2016/aky/aky.xml&amp;id=/2016/aky/YksityiskohtaisetPerustelut/12/35/99/99.html" xr:uid="{00000000-0004-0000-0000-000059000000}"/>
    <hyperlink ref="B97" r:id="rId91" display="http://budjetti.vm.fi/indox/sisalto.jsp?year=2016&amp;lang=fi&amp;maindoc=/2016/aky/aky.xml&amp;id=/2016/aky/YksityiskohtaisetPerustelut/12/39/39.html" xr:uid="{00000000-0004-0000-0000-00005A000000}"/>
    <hyperlink ref="C98" r:id="rId92" display="http://budjetti.vm.fi/indox/sisalto.jsp?year=2016&amp;lang=fi&amp;maindoc=/2016/aky/aky.xml&amp;id=/2016/aky/YksityiskohtaisetPerustelut/12/39/01/01.html" xr:uid="{00000000-0004-0000-0000-00005B000000}"/>
    <hyperlink ref="C99" r:id="rId93" display="http://budjetti.vm.fi/indox/sisalto.jsp?year=2016&amp;lang=fi&amp;maindoc=/2016/aky/aky.xml&amp;id=/2016/aky/YksityiskohtaisetPerustelut/12/39/02/02.html" xr:uid="{00000000-0004-0000-0000-00005C000000}"/>
    <hyperlink ref="C100" r:id="rId94" display="http://budjetti.vm.fi/indox/sisalto.jsp?year=2016&amp;lang=fi&amp;maindoc=/2016/aky/aky.xml&amp;id=/2016/aky/YksityiskohtaisetPerustelut/12/39/04/04.html" xr:uid="{00000000-0004-0000-0000-00005D000000}"/>
    <hyperlink ref="C101" r:id="rId95" display="http://budjetti.vm.fi/indox/sisalto.jsp?year=2016&amp;lang=fi&amp;maindoc=/2016/aky/aky.xml&amp;id=/2016/aky/YksityiskohtaisetPerustelut/12/39/10/10.html" xr:uid="{00000000-0004-0000-0000-00005E000000}"/>
    <hyperlink ref="B102" r:id="rId96" display="http://budjetti.vm.fi/indox/sisalto.jsp?year=2016&amp;lang=fi&amp;maindoc=/2016/aky/aky.xml&amp;id=/2016/aky/YksityiskohtaisetPerustelut/13/13.html" xr:uid="{00000000-0004-0000-0000-00005F000000}"/>
    <hyperlink ref="B104" r:id="rId97" display="http://budjetti.vm.fi/indox/sisalto.jsp?year=2016&amp;lang=fi&amp;maindoc=/2016/aky/aky.xml&amp;id=/2016/aky/YksityiskohtaisetPerustelut/13/01/01.html" xr:uid="{00000000-0004-0000-0000-000060000000}"/>
    <hyperlink ref="C105" r:id="rId98" display="http://budjetti.vm.fi/indox/sisalto.jsp?year=2016&amp;lang=fi&amp;maindoc=/2016/aky/aky.xml&amp;id=/2016/aky/YksityiskohtaisetPerustelut/13/01/04/04.html" xr:uid="{00000000-0004-0000-0000-000061000000}"/>
    <hyperlink ref="C106" r:id="rId99" display="http://budjetti.vm.fi/indox/sisalto.jsp?year=2016&amp;lang=fi&amp;maindoc=/2016/aky/aky.xml&amp;id=/2016/aky/YksityiskohtaisetPerustelut/13/01/05/05.html" xr:uid="{00000000-0004-0000-0000-000062000000}"/>
    <hyperlink ref="C107" r:id="rId100" display="http://budjetti.vm.fi/indox/sisalto.jsp?year=2016&amp;lang=fi&amp;maindoc=/2016/aky/aky.xml&amp;id=/2016/aky/YksityiskohtaisetPerustelut/13/01/07/07.html" xr:uid="{00000000-0004-0000-0000-000063000000}"/>
    <hyperlink ref="C108" r:id="rId101" display="http://budjetti.vm.fi/indox/sisalto.jsp?year=2016&amp;lang=fi&amp;maindoc=/2016/aky/aky.xml&amp;id=/2016/aky/YksityiskohtaisetPerustelut/13/01/09/09.html" xr:uid="{00000000-0004-0000-0000-000064000000}"/>
    <hyperlink ref="B110" r:id="rId102" display="http://budjetti.vm.fi/indox/sisalto.jsp?year=2016&amp;lang=fi&amp;maindoc=/2016/aky/aky.xml&amp;id=/2016/aky/YksityiskohtaisetPerustelut/13/03/03.html" xr:uid="{00000000-0004-0000-0000-000065000000}"/>
    <hyperlink ref="C111" r:id="rId103" display="http://budjetti.vm.fi/indox/sisalto.jsp?year=2016&amp;lang=fi&amp;maindoc=/2016/aky/aky.xml&amp;id=/2016/aky/YksityiskohtaisetPerustelut/13/03/01/01.html" xr:uid="{00000000-0004-0000-0000-000066000000}"/>
    <hyperlink ref="B113" r:id="rId104" display="http://budjetti.vm.fi/indox/sisalto.jsp?year=2016&amp;lang=fi&amp;maindoc=/2016/aky/aky.xml&amp;id=/2016/aky/YksityiskohtaisetPerustelut/13/04/04.html" xr:uid="{00000000-0004-0000-0000-000067000000}"/>
    <hyperlink ref="C114" r:id="rId105" display="http://budjetti.vm.fi/indox/sisalto.jsp?year=2016&amp;lang=fi&amp;maindoc=/2016/aky/aky.xml&amp;id=/2016/aky/YksityiskohtaisetPerustelut/13/04/01/01.html" xr:uid="{00000000-0004-0000-0000-000068000000}"/>
    <hyperlink ref="B116" r:id="rId106" display="http://budjetti.vm.fi/indox/sisalto.jsp?year=2016&amp;lang=fi&amp;maindoc=/2016/aky/aky.xml&amp;id=/2016/aky/YksityiskohtaisetPerustelut/13/05/05.html" xr:uid="{00000000-0004-0000-0000-000069000000}"/>
    <hyperlink ref="C117" r:id="rId107" display="http://budjetti.vm.fi/indox/sisalto.jsp?year=2016&amp;lang=fi&amp;maindoc=/2016/aky/aky.xml&amp;id=/2016/aky/YksityiskohtaisetPerustelut/13/05/01/01.html" xr:uid="{00000000-0004-0000-0000-00006A000000}"/>
    <hyperlink ref="B119" r:id="rId108" display="http://budjetti.vm.fi/indox/sisalto.jsp?year=2016&amp;lang=fi&amp;maindoc=/2016/aky/aky.xml&amp;id=/2016/aky/YksityiskohtaisetPerustelut/15/15.html" xr:uid="{00000000-0004-0000-0000-00006B000000}"/>
    <hyperlink ref="B121" r:id="rId109" display="http://budjetti.vm.fi/indox/sisalto.jsp?year=2016&amp;lang=fi&amp;maindoc=/2016/aky/aky.xml&amp;id=/2016/aky/YksityiskohtaisetPerustelut/15/01/01.html" xr:uid="{00000000-0004-0000-0000-00006C000000}"/>
    <hyperlink ref="C122" r:id="rId110" display="http://budjetti.vm.fi/indox/sisalto.jsp?year=2016&amp;lang=fi&amp;maindoc=/2016/aky/aky.xml&amp;id=/2016/aky/YksityiskohtaisetPerustelut/15/01/02/02.html" xr:uid="{00000000-0004-0000-0000-00006D000000}"/>
    <hyperlink ref="C123" r:id="rId111" display="http://budjetti.vm.fi/indox/sisalto.jsp?year=2016&amp;lang=fi&amp;maindoc=/2016/aky/aky.xml&amp;id=/2016/aky/YksityiskohtaisetPerustelut/15/01/04/04.html" xr:uid="{00000000-0004-0000-0000-00006E000000}"/>
    <hyperlink ref="B125" r:id="rId112" display="http://budjetti.vm.fi/indox/sisalto.jsp?year=2016&amp;lang=fi&amp;maindoc=/2016/aky/aky.xml&amp;id=/2016/aky/YksityiskohtaisetPerustelut/15/03/03.html" xr:uid="{00000000-0004-0000-0000-00006F000000}"/>
    <hyperlink ref="C126" r:id="rId113" display="http://budjetti.vm.fi/indox/sisalto.jsp?year=2016&amp;lang=fi&amp;maindoc=/2016/aky/aky.xml&amp;id=/2016/aky/YksityiskohtaisetPerustelut/15/03/01/01.html" xr:uid="{00000000-0004-0000-0000-000070000000}"/>
    <hyperlink ref="C10" r:id="rId114" display="http://budjetti.vm.fi/indox/sisalto.jsp?year=2016&amp;lang=fi&amp;maindoc=/2016/aky/aky.xml&amp;id=/2016/aky/YksityiskohtaisetPerustelut/11/04/02/02.html" xr:uid="{00000000-0004-0000-0000-000071000000}"/>
    <hyperlink ref="C6" r:id="rId115" display="http://budjetti.vm.fi/indox/sisalto.jsp?year=2016&amp;lang=fi&amp;maindoc=/2016/aky/aky.xml&amp;id=/2016/aky/YksityiskohtaisetPerustelut/11/01/03/03.html" xr:uid="{00000000-0004-0000-0000-000072000000}"/>
    <hyperlink ref="V2" r:id="rId116" display="http://budjetti.vm.fi/indox/sisalto.jsp?year=2016&amp;lang=fi&amp;maindoc=/2016/aky/aky.xml&amp;id=/2016/aky/YksityiskohtaisetPerustelut/11/11.html" xr:uid="{00000000-0004-0000-0000-000073000000}"/>
    <hyperlink ref="W32" r:id="rId117" display="http://budjetti.vm.fi/indox/sisalto.jsp?year=2016&amp;lang=fi&amp;maindoc=/2016/aky/aky.xml&amp;id=/2016/aky/YksityiskohtaisetPerustelut/11/19/11/11.html" xr:uid="{00000000-0004-0000-0000-000074000000}"/>
    <hyperlink ref="V3" r:id="rId118" display="http://budjetti.vm.fi/indox/sisalto.jsp?year=2016&amp;lang=fi&amp;maindoc=/2016/aky/aky.xml&amp;id=/2016/aky/YksityiskohtaisetPerustelut/12/12.html" xr:uid="{00000000-0004-0000-0000-000075000000}"/>
    <hyperlink ref="V4" r:id="rId119" display="http://budjetti.vm.fi/indox/sisalto.jsp?year=2016&amp;lang=fi&amp;maindoc=/2016/aky/aky.xml&amp;id=/2016/aky/YksityiskohtaisetPerustelut/13/13.html" xr:uid="{00000000-0004-0000-0000-000076000000}"/>
    <hyperlink ref="V116" r:id="rId120" display="http://budjetti.vm.fi/indox/sisalto.jsp?year=2016&amp;lang=fi&amp;maindoc=/2016/aky/aky.xml&amp;id=/2016/aky/YksityiskohtaisetPerustelut/13/05/05.html" xr:uid="{00000000-0004-0000-0000-000077000000}"/>
    <hyperlink ref="W117" r:id="rId121" display="http://budjetti.vm.fi/indox/sisalto.jsp?year=2016&amp;lang=fi&amp;maindoc=/2016/aky/aky.xml&amp;id=/2016/aky/YksityiskohtaisetPerustelut/13/05/01/01.html" xr:uid="{00000000-0004-0000-0000-000078000000}"/>
    <hyperlink ref="V104" r:id="rId122" display="http://budjetti.vm.fi/indox/sisalto.jsp?year=2016&amp;lang=fi&amp;maindoc=/2016/aky/aky.xml&amp;id=/2016/aky/YksityiskohtaisetPerustelut/15/15.html" xr:uid="{00000000-0004-0000-0000-000079000000}"/>
    <hyperlink ref="V125" r:id="rId123" display="http://budjetti.vm.fi/indox/sisalto.jsp?year=2016&amp;lang=fi&amp;maindoc=/2016/aky/aky.xml&amp;id=/2016/aky/YksityiskohtaisetPerustelut/15/03/03.html" xr:uid="{00000000-0004-0000-0000-00007A000000}"/>
    <hyperlink ref="W126" r:id="rId124" display="http://budjetti.vm.fi/indox/sisalto.jsp?year=2016&amp;lang=fi&amp;maindoc=/2016/aky/aky.xml&amp;id=/2016/aky/YksityiskohtaisetPerustelut/15/03/01/01.html" xr:uid="{00000000-0004-0000-0000-00007B000000}"/>
    <hyperlink ref="V5" r:id="rId125" display="http://budjetti.vm.fi/indox/sisalto.jsp?year=2016&amp;lang=fi&amp;maindoc=/2016/aky/aky.xml&amp;id=/2016/aky/YksityiskohtaisetPerustelut/15/15.html" xr:uid="{00000000-0004-0000-0000-00007C000000}"/>
  </hyperlinks>
  <pageMargins left="0.25" right="0.25" top="0.75" bottom="0.75" header="0.3" footer="0.3"/>
  <pageSetup paperSize="9" scale="65" orientation="portrait"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88"/>
  <sheetViews>
    <sheetView tabSelected="1" topLeftCell="A58" zoomScaleNormal="100" workbookViewId="0">
      <selection activeCell="G76" sqref="G76"/>
    </sheetView>
  </sheetViews>
  <sheetFormatPr defaultRowHeight="14.4" x14ac:dyDescent="0.3"/>
  <cols>
    <col min="1" max="1" width="2.6640625" customWidth="1"/>
    <col min="2" max="2" width="23.5546875" customWidth="1"/>
    <col min="3" max="3" width="12" style="292" customWidth="1"/>
    <col min="4" max="4" width="7" style="292" hidden="1" customWidth="1"/>
    <col min="5" max="5" width="13.6640625" style="1" customWidth="1"/>
    <col min="6" max="6" width="11.44140625" customWidth="1"/>
    <col min="7" max="7" width="16.6640625" customWidth="1"/>
    <col min="8" max="8" width="12.88671875" style="316" hidden="1" customWidth="1"/>
    <col min="9" max="9" width="7.5546875" customWidth="1"/>
    <col min="10" max="10" width="1.6640625" customWidth="1"/>
    <col min="11" max="11" width="9.6640625" customWidth="1"/>
    <col min="12" max="12" width="10.88671875" customWidth="1"/>
    <col min="13" max="13" width="11.6640625" customWidth="1"/>
    <col min="14" max="14" width="1.6640625" customWidth="1"/>
    <col min="15" max="15" width="19.109375" customWidth="1"/>
    <col min="16" max="16" width="14.109375" bestFit="1" customWidth="1"/>
    <col min="17" max="17" width="12" bestFit="1" customWidth="1"/>
    <col min="18" max="18" width="9.33203125" customWidth="1"/>
    <col min="19" max="19" width="17.33203125" customWidth="1"/>
    <col min="20" max="20" width="9.5546875" customWidth="1"/>
    <col min="21" max="21" width="9.33203125" customWidth="1"/>
    <col min="24" max="24" width="2.6640625" customWidth="1"/>
    <col min="25" max="25" width="38.5546875" customWidth="1"/>
    <col min="26" max="26" width="14.44140625" customWidth="1"/>
    <col min="27" max="27" width="12" customWidth="1"/>
    <col min="28" max="28" width="16.6640625" customWidth="1"/>
    <col min="29" max="29" width="12.88671875" customWidth="1"/>
    <col min="30" max="31" width="7.5546875" customWidth="1"/>
    <col min="32" max="32" width="16.6640625" customWidth="1"/>
    <col min="33" max="33" width="8.6640625" customWidth="1"/>
    <col min="34" max="34" width="9.88671875" customWidth="1"/>
    <col min="35" max="36" width="9.6640625" customWidth="1"/>
    <col min="37" max="37" width="19.109375" customWidth="1"/>
    <col min="38" max="39" width="8.33203125" customWidth="1"/>
    <col min="40" max="40" width="9.33203125" customWidth="1"/>
    <col min="47" max="47" width="15.44140625" customWidth="1"/>
    <col min="48" max="48" width="5" customWidth="1"/>
    <col min="49" max="49" width="16.6640625" customWidth="1"/>
    <col min="51" max="51" width="16.44140625" customWidth="1"/>
    <col min="52" max="52" width="38.5546875" customWidth="1"/>
    <col min="57" max="57" width="32" customWidth="1"/>
  </cols>
  <sheetData>
    <row r="1" spans="1:21" x14ac:dyDescent="0.3">
      <c r="A1" s="109" t="s">
        <v>965</v>
      </c>
      <c r="B1" s="105"/>
      <c r="C1" s="277"/>
      <c r="D1" s="221" t="s">
        <v>894</v>
      </c>
      <c r="E1" s="221"/>
      <c r="F1" s="105"/>
      <c r="G1" s="105"/>
      <c r="H1" s="302"/>
      <c r="I1" s="105"/>
      <c r="J1" s="105"/>
      <c r="K1" s="105"/>
      <c r="L1" s="105"/>
      <c r="M1" s="105"/>
      <c r="O1" s="105"/>
      <c r="P1" s="105"/>
      <c r="Q1" s="105"/>
      <c r="R1" s="105"/>
      <c r="S1" s="113">
        <f>S3+S4+S5+S6</f>
        <v>15156816141.916924</v>
      </c>
      <c r="T1" s="105"/>
    </row>
    <row r="2" spans="1:21" x14ac:dyDescent="0.3">
      <c r="A2" s="105" t="s">
        <v>814</v>
      </c>
      <c r="B2" s="105"/>
      <c r="C2" s="354" t="s">
        <v>749</v>
      </c>
      <c r="D2" s="354"/>
      <c r="E2" s="354" t="s">
        <v>907</v>
      </c>
      <c r="F2" s="354" t="s">
        <v>9</v>
      </c>
      <c r="G2" s="354" t="s">
        <v>908</v>
      </c>
      <c r="H2" s="355"/>
      <c r="I2" s="354" t="s">
        <v>839</v>
      </c>
      <c r="J2" s="105"/>
      <c r="K2" s="105" t="s">
        <v>718</v>
      </c>
      <c r="M2" s="238">
        <v>45</v>
      </c>
      <c r="N2" s="105"/>
      <c r="O2" s="238" t="s">
        <v>978</v>
      </c>
      <c r="P2" s="238"/>
      <c r="Q2" s="238"/>
      <c r="R2" s="238"/>
      <c r="S2" s="105"/>
      <c r="T2" s="105"/>
    </row>
    <row r="3" spans="1:21" x14ac:dyDescent="0.3">
      <c r="A3" s="187" t="s">
        <v>835</v>
      </c>
      <c r="B3" s="187"/>
      <c r="C3" s="278">
        <f>SUM(C4:C6)</f>
        <v>300</v>
      </c>
      <c r="D3" s="319">
        <f>V_Kuitti!E6+V_Kuitti!E8</f>
        <v>1350</v>
      </c>
      <c r="E3" s="222"/>
      <c r="F3" s="189"/>
      <c r="G3" s="190">
        <f>SUM(G4:G8)</f>
        <v>19286239.199999999</v>
      </c>
      <c r="H3" s="303">
        <f>V_Kuitti!B6+V_Kuitti!B8</f>
        <v>373472000</v>
      </c>
      <c r="I3" s="208">
        <f t="shared" ref="I3:I40" si="0">G3/$G$84</f>
        <v>5.9731660299458804E-4</v>
      </c>
      <c r="J3" s="105"/>
      <c r="K3" s="189">
        <f>G3/Ihmismäärät!$C$14</f>
        <v>3.5181027362276538</v>
      </c>
      <c r="L3" s="188">
        <f>K3/12</f>
        <v>0.29317522801897117</v>
      </c>
      <c r="M3" s="239">
        <f t="shared" ref="M3:M4" si="1">K3*$M$2</f>
        <v>158.31462313024443</v>
      </c>
      <c r="N3" s="105"/>
      <c r="O3" s="31" t="s">
        <v>765</v>
      </c>
      <c r="P3" s="92">
        <f>L3+L9+L15+L19+L28+L32+L37</f>
        <v>52.552133877092658</v>
      </c>
      <c r="Q3" s="87">
        <f>P3*12</f>
        <v>630.62560652511183</v>
      </c>
      <c r="R3" s="101">
        <f>Q3/Q8</f>
        <v>0.10706996733554364</v>
      </c>
      <c r="S3" s="264">
        <f>Q3*Ihmismäärät!$C$14</f>
        <v>3457089574.9706631</v>
      </c>
      <c r="T3" t="s">
        <v>849</v>
      </c>
    </row>
    <row r="4" spans="1:21" x14ac:dyDescent="0.3">
      <c r="A4" s="31"/>
      <c r="B4" s="31" t="s">
        <v>826</v>
      </c>
      <c r="C4" s="279">
        <v>200</v>
      </c>
      <c r="D4" s="320"/>
      <c r="E4" s="223">
        <f>Ihmismäärät!$C$14/C4</f>
        <v>27410</v>
      </c>
      <c r="F4" s="184">
        <v>4250</v>
      </c>
      <c r="G4" s="130">
        <f>F4*12*C4</f>
        <v>10200000</v>
      </c>
      <c r="H4" s="304"/>
      <c r="I4" s="139">
        <f t="shared" si="0"/>
        <v>3.1590551622655386E-4</v>
      </c>
      <c r="J4" s="105"/>
      <c r="K4" s="80">
        <f>G4/Ihmismäärät!$C$14</f>
        <v>1.8606348048157606</v>
      </c>
      <c r="L4" s="79">
        <f t="shared" ref="L4" si="2">K4/12</f>
        <v>0.15505290040131339</v>
      </c>
      <c r="M4" s="240">
        <f t="shared" si="1"/>
        <v>83.728566216709226</v>
      </c>
      <c r="N4" s="105"/>
      <c r="O4" s="84" t="s">
        <v>766</v>
      </c>
      <c r="P4" s="93">
        <f>L42</f>
        <v>66.718169435844587</v>
      </c>
      <c r="Q4" s="88">
        <f>P4*12</f>
        <v>800.6180332301351</v>
      </c>
      <c r="R4" s="103">
        <f>Q4/Q8</f>
        <v>0.13593191551251138</v>
      </c>
      <c r="S4" s="122">
        <f>Q4*Ihmismäärät!$C$14</f>
        <v>4388988058.1676006</v>
      </c>
      <c r="T4" t="s">
        <v>849</v>
      </c>
    </row>
    <row r="5" spans="1:21" x14ac:dyDescent="0.3">
      <c r="A5" s="31"/>
      <c r="B5" s="31" t="s">
        <v>967</v>
      </c>
      <c r="C5" s="279"/>
      <c r="D5" s="320"/>
      <c r="E5" s="223"/>
      <c r="F5" s="184">
        <f>F4*0.233806</f>
        <v>993.67550000000006</v>
      </c>
      <c r="G5" s="130">
        <f>C4*F5*12</f>
        <v>2384821.2000000002</v>
      </c>
      <c r="H5" s="304"/>
      <c r="I5" s="139">
        <f t="shared" si="0"/>
        <v>7.386060512686565E-5</v>
      </c>
      <c r="J5" s="105"/>
      <c r="K5" s="80">
        <f>G5/Ihmismäärät!$C$14</f>
        <v>0.43502758117475376</v>
      </c>
      <c r="L5" s="79">
        <f t="shared" ref="L5:L7" si="3">K5/12</f>
        <v>3.6252298431229478E-2</v>
      </c>
      <c r="M5" s="240">
        <f t="shared" ref="M5:M7" si="4">K5*$M$2</f>
        <v>19.576241152863918</v>
      </c>
      <c r="N5" s="105"/>
      <c r="O5" s="123" t="s">
        <v>767</v>
      </c>
      <c r="P5" s="126">
        <f>L53</f>
        <v>79.597573384615373</v>
      </c>
      <c r="Q5" s="265">
        <f>P5*12</f>
        <v>955.17088061538448</v>
      </c>
      <c r="R5" s="266">
        <f>Q5/Q8</f>
        <v>0.16217247433208887</v>
      </c>
      <c r="S5" s="127">
        <f>Q5*Ihmismäärät!$C$14</f>
        <v>5236246767.5335379</v>
      </c>
      <c r="T5" t="s">
        <v>849</v>
      </c>
    </row>
    <row r="6" spans="1:21" x14ac:dyDescent="0.3">
      <c r="A6" s="31"/>
      <c r="B6" s="31" t="s">
        <v>851</v>
      </c>
      <c r="C6" s="279">
        <v>100</v>
      </c>
      <c r="D6" s="320"/>
      <c r="E6" s="223">
        <f>Ihmismäärät!$C$14/C6</f>
        <v>54820</v>
      </c>
      <c r="F6" s="184">
        <v>2500</v>
      </c>
      <c r="G6" s="130">
        <f>F6*12*C6</f>
        <v>3000000</v>
      </c>
      <c r="H6" s="304"/>
      <c r="I6" s="139">
        <f t="shared" si="0"/>
        <v>9.2913387125457013E-5</v>
      </c>
      <c r="J6" s="105"/>
      <c r="K6" s="80">
        <f>G6/Ihmismäärät!$C$14</f>
        <v>0.54724553082816485</v>
      </c>
      <c r="L6" s="79">
        <f t="shared" si="3"/>
        <v>4.5603794235680402E-2</v>
      </c>
      <c r="M6" s="240">
        <f t="shared" si="4"/>
        <v>24.626048887267419</v>
      </c>
      <c r="N6" s="105"/>
      <c r="O6" s="9" t="s">
        <v>768</v>
      </c>
      <c r="P6" s="95">
        <f>L62</f>
        <v>31.534898170453605</v>
      </c>
      <c r="Q6" s="90">
        <f>P6*12</f>
        <v>378.41877804544328</v>
      </c>
      <c r="R6" s="104">
        <f>Q6/Q8</f>
        <v>6.4249351414290418E-2</v>
      </c>
      <c r="S6" s="136">
        <f>Q6*Ihmismäärät!$C$14</f>
        <v>2074491741.24512</v>
      </c>
      <c r="T6" t="s">
        <v>849</v>
      </c>
    </row>
    <row r="7" spans="1:21" x14ac:dyDescent="0.3">
      <c r="A7" s="31"/>
      <c r="B7" s="31" t="s">
        <v>967</v>
      </c>
      <c r="C7" s="279"/>
      <c r="D7" s="320"/>
      <c r="E7" s="223"/>
      <c r="F7" s="184">
        <f>F6*0.233806</f>
        <v>584.51499999999999</v>
      </c>
      <c r="G7" s="130">
        <f>C6*F7*12</f>
        <v>701418</v>
      </c>
      <c r="H7" s="304"/>
      <c r="I7" s="139">
        <f t="shared" si="0"/>
        <v>2.1723707390254604E-5</v>
      </c>
      <c r="J7" s="105"/>
      <c r="K7" s="80">
        <f>G7/Ihmismäärät!$C$14</f>
        <v>0.12794928858080992</v>
      </c>
      <c r="L7" s="79">
        <f t="shared" si="3"/>
        <v>1.0662440715067494E-2</v>
      </c>
      <c r="M7" s="240">
        <f t="shared" si="4"/>
        <v>5.7577179861364467</v>
      </c>
      <c r="N7" s="105"/>
      <c r="O7" s="196" t="s">
        <v>816</v>
      </c>
      <c r="P7" s="205">
        <f>L71</f>
        <v>260.4177155539341</v>
      </c>
      <c r="Q7" s="267">
        <f>P7*12</f>
        <v>3125.012586647209</v>
      </c>
      <c r="R7" s="268">
        <f>Q7/Q8</f>
        <v>0.53057629140556573</v>
      </c>
      <c r="S7" s="201">
        <f>Q7*Ihmismäärät!$C$14</f>
        <v>17131319000</v>
      </c>
      <c r="T7" t="s">
        <v>849</v>
      </c>
    </row>
    <row r="8" spans="1:21" x14ac:dyDescent="0.3">
      <c r="A8" s="31"/>
      <c r="B8" s="31" t="s">
        <v>827</v>
      </c>
      <c r="C8" s="279"/>
      <c r="D8" s="320"/>
      <c r="E8" s="224"/>
      <c r="F8" s="184"/>
      <c r="G8" s="130">
        <f>C4*25*50*12</f>
        <v>3000000</v>
      </c>
      <c r="H8" s="304"/>
      <c r="I8" s="139">
        <f t="shared" si="0"/>
        <v>9.2913387125457013E-5</v>
      </c>
      <c r="J8" s="105"/>
      <c r="K8" s="80">
        <f>G8/Ihmismäärät!$C$14</f>
        <v>0.54724553082816485</v>
      </c>
      <c r="L8" s="79">
        <f>K8/12</f>
        <v>4.5603794235680402E-2</v>
      </c>
      <c r="M8" s="240">
        <f>K8*$M$2</f>
        <v>24.626048887267419</v>
      </c>
      <c r="N8" s="105"/>
      <c r="O8" s="109" t="s">
        <v>751</v>
      </c>
      <c r="P8" s="250">
        <f>SUM(P3:P7)</f>
        <v>490.82049042194035</v>
      </c>
      <c r="Q8" s="251">
        <f>SUM(Q3:Q7)</f>
        <v>5889.8458850632833</v>
      </c>
      <c r="R8" s="252">
        <f>SUM(R3:R7)</f>
        <v>1</v>
      </c>
      <c r="S8" s="269">
        <f>Q8*Ihmismäärät!$C$14</f>
        <v>32288135141.91692</v>
      </c>
    </row>
    <row r="9" spans="1:21" x14ac:dyDescent="0.3">
      <c r="A9" s="187" t="s">
        <v>836</v>
      </c>
      <c r="B9" s="187"/>
      <c r="C9" s="278">
        <f>SUM(C10:C12)</f>
        <v>10</v>
      </c>
      <c r="D9" s="319">
        <f>V_Kuitti!E7</f>
        <v>70</v>
      </c>
      <c r="E9" s="222"/>
      <c r="F9" s="189"/>
      <c r="G9" s="190">
        <f>SUM(G10:G14)</f>
        <v>500468.74199999997</v>
      </c>
      <c r="H9" s="303">
        <f>V_Kuitti!B7</f>
        <v>13455999.999999998</v>
      </c>
      <c r="I9" s="208">
        <f t="shared" si="0"/>
        <v>1.5500081989878822E-5</v>
      </c>
      <c r="J9" s="105"/>
      <c r="K9" s="189">
        <f>G9/Ihmismäärät!$C$14</f>
        <v>9.1293094126231294E-2</v>
      </c>
      <c r="L9" s="188">
        <f>K9/12</f>
        <v>7.6077578438526082E-3</v>
      </c>
      <c r="M9" s="239">
        <f>K9*$M$2</f>
        <v>4.1081892356804079</v>
      </c>
      <c r="N9" s="105"/>
      <c r="O9" s="109"/>
      <c r="P9" s="399">
        <f>V_Kuitti!I10</f>
        <v>836.70258725525957</v>
      </c>
      <c r="Q9" s="400">
        <f>V_Kuitti!J10</f>
        <v>10040.431047063114</v>
      </c>
      <c r="R9" s="252"/>
      <c r="S9" s="398">
        <v>55000000000</v>
      </c>
    </row>
    <row r="10" spans="1:21" x14ac:dyDescent="0.3">
      <c r="A10" s="31"/>
      <c r="B10" s="31" t="s">
        <v>828</v>
      </c>
      <c r="C10" s="279">
        <v>1</v>
      </c>
      <c r="D10" s="320"/>
      <c r="E10" s="223">
        <f>Ihmismäärät!$C$14/C10</f>
        <v>5482000</v>
      </c>
      <c r="F10" s="184">
        <v>5000</v>
      </c>
      <c r="G10" s="130">
        <f>F10*12*C10</f>
        <v>60000</v>
      </c>
      <c r="H10" s="304"/>
      <c r="I10" s="139">
        <f t="shared" si="0"/>
        <v>1.8582677425091402E-6</v>
      </c>
      <c r="J10" s="105"/>
      <c r="K10" s="80">
        <f>G10/Ihmismäärät!$C$14</f>
        <v>1.0944910616563297E-2</v>
      </c>
      <c r="L10" s="79">
        <f>K10/12</f>
        <v>9.1207588471360808E-4</v>
      </c>
      <c r="M10" s="240">
        <f>K10*$M$2</f>
        <v>0.49252097774534837</v>
      </c>
      <c r="N10" s="105"/>
      <c r="O10" s="109"/>
      <c r="P10" s="399">
        <f>Q10/12</f>
        <v>674.60317460317458</v>
      </c>
      <c r="Q10" s="400">
        <f>S10/8400000</f>
        <v>8095.2380952380954</v>
      </c>
      <c r="R10" s="252"/>
      <c r="S10" s="398">
        <v>68000000000</v>
      </c>
    </row>
    <row r="11" spans="1:21" x14ac:dyDescent="0.3">
      <c r="A11" s="31"/>
      <c r="B11" s="31" t="s">
        <v>967</v>
      </c>
      <c r="C11" s="279"/>
      <c r="D11" s="320"/>
      <c r="E11" s="223"/>
      <c r="F11" s="184">
        <f>F10*0.233806</f>
        <v>1169.03</v>
      </c>
      <c r="G11" s="130">
        <f>C10*F11*12</f>
        <v>14028.36</v>
      </c>
      <c r="H11" s="304"/>
      <c r="I11" s="139">
        <f t="shared" si="0"/>
        <v>4.3447414780509207E-7</v>
      </c>
      <c r="J11" s="105"/>
      <c r="K11" s="80">
        <f>G11/Ihmismäärät!$C$14</f>
        <v>2.5589857716161986E-3</v>
      </c>
      <c r="L11" s="79">
        <f t="shared" ref="L11:L13" si="5">K11/12</f>
        <v>2.1324881430134988E-4</v>
      </c>
      <c r="M11" s="240">
        <f t="shared" ref="M11:M13" si="6">K11*$M$2</f>
        <v>0.11515435972272894</v>
      </c>
      <c r="N11" s="105"/>
      <c r="O11" s="109"/>
      <c r="P11" s="250"/>
      <c r="Q11" s="251"/>
      <c r="R11" s="252"/>
      <c r="S11" s="269"/>
    </row>
    <row r="12" spans="1:21" x14ac:dyDescent="0.3">
      <c r="A12" s="31"/>
      <c r="B12" s="31" t="s">
        <v>851</v>
      </c>
      <c r="C12" s="279">
        <v>9</v>
      </c>
      <c r="D12" s="320"/>
      <c r="E12" s="223">
        <f>Ihmismäärät!$C$14/C12</f>
        <v>609111.11111111112</v>
      </c>
      <c r="F12" s="184">
        <f>F16</f>
        <v>2750</v>
      </c>
      <c r="G12" s="130">
        <f>F12*12*C12</f>
        <v>297000</v>
      </c>
      <c r="H12" s="304"/>
      <c r="I12" s="139">
        <f t="shared" si="0"/>
        <v>9.1984253254202446E-6</v>
      </c>
      <c r="J12" s="105"/>
      <c r="K12" s="80">
        <f>G12/Ihmismäärät!$C$14</f>
        <v>5.4177307551988324E-2</v>
      </c>
      <c r="L12" s="79">
        <f t="shared" si="5"/>
        <v>4.51477562933236E-3</v>
      </c>
      <c r="M12" s="240">
        <f t="shared" si="6"/>
        <v>2.4379788398394746</v>
      </c>
      <c r="N12" s="105"/>
      <c r="O12" s="109">
        <f>Ihmismäärät!C25</f>
        <v>1943016</v>
      </c>
      <c r="P12" s="250">
        <f>S12/12</f>
        <v>1384.7945299951605</v>
      </c>
      <c r="Q12" s="251"/>
      <c r="R12" s="252"/>
      <c r="S12" s="269">
        <f>S8/O12</f>
        <v>16617.534359941925</v>
      </c>
    </row>
    <row r="13" spans="1:21" x14ac:dyDescent="0.3">
      <c r="A13" s="31"/>
      <c r="B13" s="31" t="s">
        <v>967</v>
      </c>
      <c r="C13" s="279"/>
      <c r="D13" s="320"/>
      <c r="E13" s="223"/>
      <c r="F13" s="184">
        <f>F12*0.233806</f>
        <v>642.9665</v>
      </c>
      <c r="G13" s="130">
        <f>C12*F13*12</f>
        <v>69440.382000000012</v>
      </c>
      <c r="H13" s="304"/>
      <c r="I13" s="139">
        <f t="shared" si="0"/>
        <v>2.1506470316352059E-6</v>
      </c>
      <c r="J13" s="105"/>
      <c r="K13" s="80">
        <f>G13/Ihmismäärät!$C$14</f>
        <v>1.2666979569500185E-2</v>
      </c>
      <c r="L13" s="79">
        <f t="shared" si="5"/>
        <v>1.055581630791682E-3</v>
      </c>
      <c r="M13" s="240">
        <f t="shared" si="6"/>
        <v>0.57001408062750836</v>
      </c>
      <c r="N13" s="105"/>
      <c r="O13" s="109"/>
      <c r="P13" s="250"/>
      <c r="Q13" s="251"/>
      <c r="R13" s="252"/>
      <c r="S13" s="269"/>
    </row>
    <row r="14" spans="1:21" x14ac:dyDescent="0.3">
      <c r="A14" s="31"/>
      <c r="B14" s="31" t="s">
        <v>829</v>
      </c>
      <c r="C14" s="279"/>
      <c r="D14" s="320"/>
      <c r="E14" s="224"/>
      <c r="F14" s="80"/>
      <c r="G14" s="130">
        <f>C10*100*50*12</f>
        <v>60000</v>
      </c>
      <c r="H14" s="304"/>
      <c r="I14" s="139">
        <f t="shared" si="0"/>
        <v>1.8582677425091402E-6</v>
      </c>
      <c r="J14" s="105"/>
      <c r="K14" s="80">
        <f>G14/Ihmismäärät!$C$14</f>
        <v>1.0944910616563297E-2</v>
      </c>
      <c r="L14" s="79">
        <f t="shared" ref="L14:L83" si="7">K14/12</f>
        <v>9.1207588471360808E-4</v>
      </c>
      <c r="M14" s="240">
        <f t="shared" ref="M14:M83" si="8">K14*$M$2</f>
        <v>0.49252097774534837</v>
      </c>
      <c r="N14" s="105"/>
      <c r="O14" s="238"/>
      <c r="P14" s="238"/>
      <c r="Q14" s="238"/>
      <c r="R14" s="238"/>
      <c r="S14" s="237"/>
      <c r="T14" s="250">
        <f>P8-L72</f>
        <v>369.20848750329753</v>
      </c>
      <c r="U14" s="251">
        <f>T14*12</f>
        <v>4430.5018500395709</v>
      </c>
    </row>
    <row r="15" spans="1:21" x14ac:dyDescent="0.3">
      <c r="A15" s="187" t="s">
        <v>837</v>
      </c>
      <c r="B15" s="187"/>
      <c r="C15" s="278">
        <f>SUM(C16)</f>
        <v>5482</v>
      </c>
      <c r="D15" s="319">
        <f>V_Kuitti!E10</f>
        <v>8500</v>
      </c>
      <c r="E15" s="222"/>
      <c r="F15" s="189"/>
      <c r="G15" s="190">
        <f>SUM(G16:G18)</f>
        <v>256094908.236</v>
      </c>
      <c r="H15" s="303">
        <f>V_Kuitti!B10</f>
        <v>925500000</v>
      </c>
      <c r="I15" s="208">
        <f t="shared" si="0"/>
        <v>7.9315484499299527E-3</v>
      </c>
      <c r="J15" s="105"/>
      <c r="K15" s="189">
        <f>G15/Ihmismäärät!$C$14</f>
        <v>46.715598</v>
      </c>
      <c r="L15" s="188">
        <f t="shared" si="7"/>
        <v>3.8929665</v>
      </c>
      <c r="M15" s="239">
        <f t="shared" si="8"/>
        <v>2102.2019099999998</v>
      </c>
      <c r="N15" s="105"/>
      <c r="O15" s="238"/>
      <c r="P15" s="238"/>
      <c r="Q15" s="238"/>
      <c r="R15" s="238"/>
      <c r="S15" s="237"/>
    </row>
    <row r="16" spans="1:21" x14ac:dyDescent="0.3">
      <c r="A16" s="31"/>
      <c r="B16" s="31" t="s">
        <v>851</v>
      </c>
      <c r="C16" s="279">
        <f>Ihmismäärät!$C$14/E16</f>
        <v>5482</v>
      </c>
      <c r="D16" s="320"/>
      <c r="E16" s="223">
        <v>1000</v>
      </c>
      <c r="F16" s="184">
        <v>2750</v>
      </c>
      <c r="G16" s="130">
        <f>F16*12*C16</f>
        <v>180906000</v>
      </c>
      <c r="H16" s="304"/>
      <c r="I16" s="139">
        <f t="shared" si="0"/>
        <v>5.6028630704393085E-3</v>
      </c>
      <c r="J16" s="105"/>
      <c r="K16" s="80">
        <f>G16/Ihmismäärät!$C$14</f>
        <v>33</v>
      </c>
      <c r="L16" s="79">
        <f t="shared" si="7"/>
        <v>2.75</v>
      </c>
      <c r="M16" s="240">
        <f t="shared" si="8"/>
        <v>1485</v>
      </c>
      <c r="N16" s="105"/>
      <c r="O16" s="238"/>
      <c r="P16" s="238"/>
      <c r="Q16" s="238"/>
      <c r="R16" s="238"/>
      <c r="S16" s="237">
        <f>S8/Ihmismäärät!C25</f>
        <v>16617.534359941925</v>
      </c>
      <c r="T16" s="357">
        <f>S16/12</f>
        <v>1384.7945299951605</v>
      </c>
    </row>
    <row r="17" spans="1:21" x14ac:dyDescent="0.3">
      <c r="A17" s="31"/>
      <c r="B17" s="31" t="s">
        <v>967</v>
      </c>
      <c r="C17" s="279"/>
      <c r="D17" s="320"/>
      <c r="E17" s="223"/>
      <c r="F17" s="184">
        <f>F16*0.233806</f>
        <v>642.9665</v>
      </c>
      <c r="G17" s="130">
        <f>C16*F17*12</f>
        <v>42296908.236000001</v>
      </c>
      <c r="H17" s="304"/>
      <c r="I17" s="139">
        <f t="shared" si="0"/>
        <v>1.3099830030471331E-3</v>
      </c>
      <c r="J17" s="105"/>
      <c r="K17" s="80">
        <f>G17/Ihmismäärät!$C$14</f>
        <v>7.715598</v>
      </c>
      <c r="L17" s="79">
        <f t="shared" ref="L17" si="9">K17/12</f>
        <v>0.6429665</v>
      </c>
      <c r="M17" s="240">
        <f t="shared" ref="M17" si="10">K17*$M$2</f>
        <v>347.20191</v>
      </c>
      <c r="N17" s="105"/>
      <c r="O17" s="238"/>
      <c r="P17" s="238"/>
      <c r="Q17" s="238"/>
      <c r="R17" s="238"/>
      <c r="S17" s="237"/>
      <c r="T17" s="357"/>
    </row>
    <row r="18" spans="1:21" x14ac:dyDescent="0.3">
      <c r="A18" s="31"/>
      <c r="B18" s="31" t="s">
        <v>794</v>
      </c>
      <c r="C18" s="279"/>
      <c r="D18" s="320"/>
      <c r="E18" s="224"/>
      <c r="F18" s="80"/>
      <c r="G18" s="130">
        <f>C16*25*20*12</f>
        <v>32892000</v>
      </c>
      <c r="H18" s="304"/>
      <c r="I18" s="139">
        <f t="shared" si="0"/>
        <v>1.0187023764435107E-3</v>
      </c>
      <c r="J18" s="105"/>
      <c r="K18" s="80">
        <f>G18/Ihmismäärät!$C$14</f>
        <v>6</v>
      </c>
      <c r="L18" s="79">
        <f t="shared" si="7"/>
        <v>0.5</v>
      </c>
      <c r="M18" s="240">
        <f t="shared" si="8"/>
        <v>270</v>
      </c>
      <c r="N18" s="105"/>
      <c r="O18" s="238"/>
      <c r="P18" s="238"/>
      <c r="Q18" s="238"/>
      <c r="R18" s="238"/>
      <c r="S18" s="237"/>
    </row>
    <row r="19" spans="1:21" x14ac:dyDescent="0.3">
      <c r="A19" s="187" t="s">
        <v>838</v>
      </c>
      <c r="B19" s="187"/>
      <c r="C19" s="278">
        <f>SUM(C20:C24)</f>
        <v>14651.268571428573</v>
      </c>
      <c r="D19" s="319">
        <f>V_Kuitti!E11</f>
        <v>14600</v>
      </c>
      <c r="E19" s="222"/>
      <c r="F19" s="189"/>
      <c r="G19" s="190">
        <f>SUM(G20:G27)</f>
        <v>646437024.20146298</v>
      </c>
      <c r="H19" s="303">
        <f>V_Kuitti!B11</f>
        <v>1994623999.9999998</v>
      </c>
      <c r="I19" s="208">
        <f t="shared" si="0"/>
        <v>2.0020884493952985E-2</v>
      </c>
      <c r="J19" s="105"/>
      <c r="K19" s="189">
        <f>G19/Ihmismäärät!$C$14</f>
        <v>117.9199241520363</v>
      </c>
      <c r="L19" s="188">
        <f t="shared" si="7"/>
        <v>9.8266603460030257</v>
      </c>
      <c r="M19" s="239">
        <f t="shared" si="8"/>
        <v>5306.3965868416335</v>
      </c>
      <c r="N19" s="105"/>
      <c r="O19" s="238"/>
      <c r="P19" s="238"/>
      <c r="Q19" s="238"/>
      <c r="R19" s="238"/>
      <c r="S19" s="237"/>
      <c r="U19">
        <f>G42/C50</f>
        <v>3050.8745017152787</v>
      </c>
    </row>
    <row r="20" spans="1:21" x14ac:dyDescent="0.3">
      <c r="A20" s="31"/>
      <c r="B20" s="31" t="s">
        <v>830</v>
      </c>
      <c r="C20" s="279">
        <f>Ihmismäärät!$C$14/E20</f>
        <v>7831.4285714285716</v>
      </c>
      <c r="D20" s="320"/>
      <c r="E20" s="223">
        <v>700</v>
      </c>
      <c r="F20" s="184">
        <f>F16</f>
        <v>2750</v>
      </c>
      <c r="G20" s="130">
        <f>F20*12*C20</f>
        <v>258437142.85714287</v>
      </c>
      <c r="H20" s="304"/>
      <c r="I20" s="139">
        <f t="shared" si="0"/>
        <v>8.0040901006275846E-3</v>
      </c>
      <c r="J20" s="105"/>
      <c r="K20" s="80">
        <f>G20/Ihmismäärät!$C$14</f>
        <v>47.142857142857146</v>
      </c>
      <c r="L20" s="79">
        <f t="shared" si="7"/>
        <v>3.9285714285714288</v>
      </c>
      <c r="M20" s="240">
        <f t="shared" si="8"/>
        <v>2121.4285714285716</v>
      </c>
      <c r="N20" s="105"/>
      <c r="O20" s="238"/>
      <c r="P20" s="238"/>
      <c r="Q20" s="238"/>
      <c r="R20" s="238"/>
      <c r="S20" s="237">
        <f>S4+S5+S6</f>
        <v>11699726566.946259</v>
      </c>
    </row>
    <row r="21" spans="1:21" x14ac:dyDescent="0.3">
      <c r="A21" s="31"/>
      <c r="B21" s="31" t="s">
        <v>831</v>
      </c>
      <c r="C21" s="279">
        <f>Ihmismäärät!$C$14/E21</f>
        <v>5482</v>
      </c>
      <c r="D21" s="320"/>
      <c r="E21" s="223">
        <v>1000</v>
      </c>
      <c r="F21" s="184">
        <f>F20</f>
        <v>2750</v>
      </c>
      <c r="G21" s="130">
        <f>F21*12*C21</f>
        <v>180906000</v>
      </c>
      <c r="H21" s="304"/>
      <c r="I21" s="139">
        <f t="shared" si="0"/>
        <v>5.6028630704393085E-3</v>
      </c>
      <c r="J21" s="105"/>
      <c r="K21" s="80">
        <f>G21/Ihmismäärät!$C$14</f>
        <v>33</v>
      </c>
      <c r="L21" s="79">
        <f t="shared" si="7"/>
        <v>2.75</v>
      </c>
      <c r="M21" s="240">
        <f t="shared" si="8"/>
        <v>1485</v>
      </c>
      <c r="N21" s="105"/>
      <c r="O21" s="238" t="s">
        <v>7</v>
      </c>
      <c r="P21" s="238"/>
      <c r="Q21" s="238"/>
      <c r="R21" s="238"/>
      <c r="S21" s="237"/>
    </row>
    <row r="22" spans="1:21" x14ac:dyDescent="0.3">
      <c r="A22" s="31"/>
      <c r="B22" s="31" t="s">
        <v>833</v>
      </c>
      <c r="C22" s="279">
        <f>Ihmismäärät!$C$14/E22</f>
        <v>548.20000000000005</v>
      </c>
      <c r="D22" s="320"/>
      <c r="E22" s="223">
        <v>10000</v>
      </c>
      <c r="F22" s="184">
        <f>F20</f>
        <v>2750</v>
      </c>
      <c r="G22" s="130">
        <f>F22*12*C22</f>
        <v>18090600</v>
      </c>
      <c r="H22" s="304"/>
      <c r="I22" s="139">
        <f t="shared" si="0"/>
        <v>5.6028630704393087E-4</v>
      </c>
      <c r="J22" s="105"/>
      <c r="K22" s="80">
        <f>G22/Ihmismäärät!$C$14</f>
        <v>3.3</v>
      </c>
      <c r="L22" s="79">
        <f t="shared" si="7"/>
        <v>0.27499999999999997</v>
      </c>
      <c r="M22" s="240">
        <f t="shared" si="8"/>
        <v>148.5</v>
      </c>
      <c r="N22" s="105"/>
      <c r="P22" s="238"/>
      <c r="Q22" s="238"/>
      <c r="R22" s="238"/>
      <c r="S22" s="237"/>
      <c r="T22">
        <v>1000</v>
      </c>
      <c r="U22">
        <f>U28/15</f>
        <v>123.0694958344325</v>
      </c>
    </row>
    <row r="23" spans="1:21" x14ac:dyDescent="0.3">
      <c r="A23" s="31"/>
      <c r="B23" s="31" t="s">
        <v>855</v>
      </c>
      <c r="C23" s="279">
        <v>680</v>
      </c>
      <c r="D23" s="320"/>
      <c r="E23" s="223">
        <v>50000</v>
      </c>
      <c r="F23" s="184">
        <f>F20</f>
        <v>2750</v>
      </c>
      <c r="G23" s="130">
        <f>F23*12*C23</f>
        <v>22440000</v>
      </c>
      <c r="H23" s="304"/>
      <c r="I23" s="139">
        <f t="shared" si="0"/>
        <v>6.949921356984185E-4</v>
      </c>
      <c r="J23" s="105"/>
      <c r="K23" s="80">
        <f>G23/Ihmismäärät!$C$14</f>
        <v>4.0933965705946731</v>
      </c>
      <c r="L23" s="79">
        <f t="shared" si="7"/>
        <v>0.34111638088288943</v>
      </c>
      <c r="M23" s="240">
        <f t="shared" si="8"/>
        <v>184.20284567676029</v>
      </c>
      <c r="N23" s="105"/>
      <c r="O23" s="238"/>
      <c r="P23" s="238"/>
      <c r="Q23" s="238"/>
      <c r="R23" s="238"/>
      <c r="S23" s="237"/>
      <c r="T23">
        <v>2000</v>
      </c>
      <c r="U23">
        <f>U22*2</f>
        <v>246.138991668865</v>
      </c>
    </row>
    <row r="24" spans="1:21" x14ac:dyDescent="0.3">
      <c r="A24" s="31"/>
      <c r="B24" s="31" t="s">
        <v>856</v>
      </c>
      <c r="C24" s="279">
        <f>Ihmismäärät!$C$14/E24</f>
        <v>109.64</v>
      </c>
      <c r="D24" s="320"/>
      <c r="E24" s="223">
        <v>50000</v>
      </c>
      <c r="F24" s="184">
        <f>F20</f>
        <v>2750</v>
      </c>
      <c r="G24" s="130">
        <f>F24*12*C24</f>
        <v>3618120</v>
      </c>
      <c r="H24" s="304"/>
      <c r="I24" s="139">
        <f t="shared" si="0"/>
        <v>1.1205726140878618E-4</v>
      </c>
      <c r="J24" s="105"/>
      <c r="K24" s="80">
        <f>G24/Ihmismäärät!$C$14</f>
        <v>0.66</v>
      </c>
      <c r="L24" s="79">
        <f t="shared" si="7"/>
        <v>5.5E-2</v>
      </c>
      <c r="M24" s="240">
        <f t="shared" si="8"/>
        <v>29.700000000000003</v>
      </c>
      <c r="N24" s="105"/>
      <c r="O24" s="238"/>
      <c r="P24" s="238"/>
      <c r="Q24" s="238"/>
      <c r="R24" s="238"/>
      <c r="S24" s="237"/>
      <c r="T24">
        <v>3000</v>
      </c>
      <c r="U24">
        <f>U22*3</f>
        <v>369.20848750329753</v>
      </c>
    </row>
    <row r="25" spans="1:21" x14ac:dyDescent="0.3">
      <c r="A25" s="31"/>
      <c r="B25" s="31" t="s">
        <v>967</v>
      </c>
      <c r="C25" s="279"/>
      <c r="D25" s="320"/>
      <c r="E25" s="223"/>
      <c r="F25" s="184">
        <f>F24*0.233806</f>
        <v>642.9665</v>
      </c>
      <c r="G25" s="130">
        <f>(C24+C23+C22+C21+C20)*F25*12</f>
        <v>113043298.48717713</v>
      </c>
      <c r="H25" s="304"/>
      <c r="I25" s="139">
        <f t="shared" si="0"/>
        <v>3.5010785847592262E-3</v>
      </c>
      <c r="J25" s="105"/>
      <c r="K25" s="80">
        <f>G25/Ihmismäärät!$C$14</f>
        <v>20.620813295727313</v>
      </c>
      <c r="L25" s="79">
        <f t="shared" ref="L25:L26" si="11">K25/12</f>
        <v>1.7184011079772761</v>
      </c>
      <c r="M25" s="240">
        <f t="shared" ref="M25:M26" si="12">K25*$M$2</f>
        <v>927.93659830772913</v>
      </c>
      <c r="N25" s="105"/>
      <c r="O25" s="238"/>
      <c r="P25" s="238"/>
      <c r="Q25" s="238"/>
      <c r="R25" s="238"/>
      <c r="S25" s="237"/>
    </row>
    <row r="26" spans="1:21" x14ac:dyDescent="0.3">
      <c r="A26" s="31"/>
      <c r="B26" s="31" t="s">
        <v>794</v>
      </c>
      <c r="C26" s="279"/>
      <c r="D26" s="320"/>
      <c r="E26" s="223"/>
      <c r="F26" s="80"/>
      <c r="G26" s="130">
        <f>(C22+C21+C20)*25*10*12</f>
        <v>41584885.714285716</v>
      </c>
      <c r="H26" s="304"/>
      <c r="I26" s="139">
        <f t="shared" si="0"/>
        <v>1.2879308616464385E-3</v>
      </c>
      <c r="J26" s="105"/>
      <c r="K26" s="80">
        <f>G26/Ihmismäärät!$C$14</f>
        <v>7.5857142857142863</v>
      </c>
      <c r="L26" s="79">
        <f t="shared" si="11"/>
        <v>0.63214285714285723</v>
      </c>
      <c r="M26" s="240">
        <f t="shared" si="12"/>
        <v>341.35714285714289</v>
      </c>
      <c r="N26" s="105"/>
      <c r="O26" s="238"/>
      <c r="P26" s="238"/>
      <c r="Q26" s="238"/>
      <c r="R26" s="238"/>
      <c r="S26" s="237">
        <f>S7+S3+S6</f>
        <v>22662900316.215786</v>
      </c>
      <c r="T26">
        <v>4000</v>
      </c>
      <c r="U26">
        <f>U22*4</f>
        <v>492.27798333773001</v>
      </c>
    </row>
    <row r="27" spans="1:21" x14ac:dyDescent="0.3">
      <c r="A27" s="31"/>
      <c r="B27" s="31" t="s">
        <v>832</v>
      </c>
      <c r="C27" s="279"/>
      <c r="D27" s="320"/>
      <c r="E27" s="223"/>
      <c r="F27" s="80"/>
      <c r="G27" s="130">
        <f>(C22+C21+C20)*50*12</f>
        <v>8316977.1428571418</v>
      </c>
      <c r="H27" s="304"/>
      <c r="I27" s="139">
        <f t="shared" si="0"/>
        <v>2.5758617232928769E-4</v>
      </c>
      <c r="J27" s="105"/>
      <c r="K27" s="80">
        <f>G27/Ihmismäärät!$C$14</f>
        <v>1.5171428571428569</v>
      </c>
      <c r="L27" s="79">
        <f t="shared" si="7"/>
        <v>0.12642857142857142</v>
      </c>
      <c r="M27" s="240">
        <f t="shared" si="8"/>
        <v>68.271428571428558</v>
      </c>
      <c r="N27" s="105"/>
      <c r="O27" s="238"/>
      <c r="P27" s="238"/>
      <c r="Q27" s="238"/>
      <c r="R27" s="238"/>
      <c r="S27" s="237">
        <f>U_tulot!I9+U_tulot!I5+U_tulot!I119</f>
        <v>20357200000</v>
      </c>
      <c r="T27">
        <v>5000</v>
      </c>
      <c r="U27">
        <f>5*U22</f>
        <v>615.34747917216248</v>
      </c>
    </row>
    <row r="28" spans="1:21" x14ac:dyDescent="0.3">
      <c r="A28" s="187" t="s">
        <v>840</v>
      </c>
      <c r="B28" s="187"/>
      <c r="C28" s="278">
        <f>SUM(C29)</f>
        <v>1096.4000000000001</v>
      </c>
      <c r="D28" s="319">
        <f>V_Kuitti!E9</f>
        <v>2100</v>
      </c>
      <c r="E28" s="222"/>
      <c r="F28" s="189"/>
      <c r="G28" s="190">
        <f>SUM(G29:G31)</f>
        <v>49903301.647200003</v>
      </c>
      <c r="H28" s="303">
        <f>V_Kuitti!B9</f>
        <v>1060213000</v>
      </c>
      <c r="I28" s="208">
        <f t="shared" si="0"/>
        <v>1.5455615949282501E-3</v>
      </c>
      <c r="J28" s="105"/>
      <c r="K28" s="189">
        <f>G28/Ihmismäärät!$C$14</f>
        <v>9.1031196000000012</v>
      </c>
      <c r="L28" s="188">
        <f t="shared" si="7"/>
        <v>0.75859330000000014</v>
      </c>
      <c r="M28" s="239">
        <f t="shared" si="8"/>
        <v>409.64038200000005</v>
      </c>
      <c r="N28" s="105"/>
      <c r="O28" s="238"/>
      <c r="P28" s="238"/>
      <c r="Q28" s="238"/>
      <c r="R28" s="238"/>
      <c r="S28" s="237"/>
      <c r="T28">
        <f>SUM(T22:T27)</f>
        <v>15000</v>
      </c>
      <c r="U28">
        <f>T14*5</f>
        <v>1846.0424375164876</v>
      </c>
    </row>
    <row r="29" spans="1:21" x14ac:dyDescent="0.3">
      <c r="A29" s="31"/>
      <c r="B29" s="31" t="s">
        <v>834</v>
      </c>
      <c r="C29" s="279">
        <f>Ihmismäärät!$C$14/E29</f>
        <v>1096.4000000000001</v>
      </c>
      <c r="D29" s="320"/>
      <c r="E29" s="223">
        <v>5000</v>
      </c>
      <c r="F29" s="184">
        <f>F20</f>
        <v>2750</v>
      </c>
      <c r="G29" s="130">
        <f>F29*12*C29</f>
        <v>36181200</v>
      </c>
      <c r="H29" s="304"/>
      <c r="I29" s="139">
        <f t="shared" si="0"/>
        <v>1.1205726140878617E-3</v>
      </c>
      <c r="J29" s="105"/>
      <c r="K29" s="80">
        <f>G29/Ihmismäärät!$C$14</f>
        <v>6.6</v>
      </c>
      <c r="L29" s="79">
        <f t="shared" si="7"/>
        <v>0.54999999999999993</v>
      </c>
      <c r="M29" s="240">
        <f t="shared" si="8"/>
        <v>297</v>
      </c>
      <c r="N29" s="105"/>
      <c r="O29" s="238"/>
      <c r="P29" s="238"/>
      <c r="Q29" s="238"/>
      <c r="R29" s="238"/>
      <c r="S29" s="237"/>
    </row>
    <row r="30" spans="1:21" x14ac:dyDescent="0.3">
      <c r="A30" s="31"/>
      <c r="B30" s="31" t="s">
        <v>967</v>
      </c>
      <c r="C30" s="279"/>
      <c r="D30" s="320"/>
      <c r="E30" s="223"/>
      <c r="F30" s="184">
        <f>F29*0.233806</f>
        <v>642.9665</v>
      </c>
      <c r="G30" s="130">
        <f>C29*F30*12</f>
        <v>8459381.6471999995</v>
      </c>
      <c r="H30" s="304"/>
      <c r="I30" s="139">
        <f t="shared" si="0"/>
        <v>2.6199660060942658E-4</v>
      </c>
      <c r="J30" s="105"/>
      <c r="K30" s="80">
        <f>G30/Ihmismäärät!$C$14</f>
        <v>1.5431195999999998</v>
      </c>
      <c r="L30" s="79">
        <f t="shared" ref="L30" si="13">K30/12</f>
        <v>0.12859329999999999</v>
      </c>
      <c r="M30" s="240">
        <f t="shared" ref="M30" si="14">K30*$M$2</f>
        <v>69.440381999999985</v>
      </c>
      <c r="N30" s="105"/>
      <c r="O30" s="238"/>
      <c r="P30" s="238"/>
      <c r="Q30" s="238"/>
      <c r="R30" s="238"/>
      <c r="S30" s="237"/>
    </row>
    <row r="31" spans="1:21" x14ac:dyDescent="0.3">
      <c r="A31" s="31"/>
      <c r="B31" s="31" t="s">
        <v>794</v>
      </c>
      <c r="C31" s="279"/>
      <c r="D31" s="320"/>
      <c r="E31" s="223"/>
      <c r="F31" s="80"/>
      <c r="G31" s="130">
        <f>C29*20*20*12</f>
        <v>5262720</v>
      </c>
      <c r="H31" s="304"/>
      <c r="I31" s="139">
        <f t="shared" si="0"/>
        <v>1.6299238023096172E-4</v>
      </c>
      <c r="J31" s="105"/>
      <c r="K31" s="80">
        <f>G31/Ihmismäärät!$C$14</f>
        <v>0.96</v>
      </c>
      <c r="L31" s="79">
        <f t="shared" si="7"/>
        <v>0.08</v>
      </c>
      <c r="M31" s="240">
        <f t="shared" si="8"/>
        <v>43.199999999999996</v>
      </c>
      <c r="N31" s="105"/>
      <c r="O31" s="238"/>
      <c r="P31" s="238"/>
      <c r="Q31" s="238"/>
      <c r="R31" s="238"/>
      <c r="S31" s="237"/>
    </row>
    <row r="32" spans="1:21" x14ac:dyDescent="0.3">
      <c r="A32" s="187" t="s">
        <v>841</v>
      </c>
      <c r="B32" s="187"/>
      <c r="C32" s="278">
        <f>SUM(C33)</f>
        <v>10964</v>
      </c>
      <c r="D32" s="319">
        <f>V_Kuitti!E12</f>
        <v>13020</v>
      </c>
      <c r="E32" s="223"/>
      <c r="F32" s="189"/>
      <c r="G32" s="190">
        <f>SUM(G33:G36)</f>
        <v>1972677816.4720001</v>
      </c>
      <c r="H32" s="303">
        <f>V_Kuitti!B12</f>
        <v>2884597000</v>
      </c>
      <c r="I32" s="208">
        <f t="shared" si="0"/>
        <v>6.1096059211888064E-2</v>
      </c>
      <c r="J32" s="105"/>
      <c r="K32" s="189">
        <f>G32/Ihmismäärät!$C$14</f>
        <v>359.84637294272164</v>
      </c>
      <c r="L32" s="188">
        <f t="shared" si="7"/>
        <v>29.987197745226805</v>
      </c>
      <c r="M32" s="239">
        <f t="shared" si="8"/>
        <v>16193.086782422473</v>
      </c>
      <c r="N32" s="105"/>
      <c r="O32" s="238"/>
      <c r="P32" s="238"/>
      <c r="Q32" s="238"/>
      <c r="R32" s="238"/>
      <c r="S32" s="237"/>
    </row>
    <row r="33" spans="1:23" x14ac:dyDescent="0.3">
      <c r="A33" s="31"/>
      <c r="B33" s="31" t="s">
        <v>834</v>
      </c>
      <c r="C33" s="279">
        <f>Ihmismäärät!$C$14/E33</f>
        <v>10964</v>
      </c>
      <c r="D33" s="320"/>
      <c r="E33" s="223">
        <v>500</v>
      </c>
      <c r="F33" s="184">
        <f>F29</f>
        <v>2750</v>
      </c>
      <c r="G33" s="130">
        <f>F33*12*C33</f>
        <v>361812000</v>
      </c>
      <c r="H33" s="304"/>
      <c r="I33" s="139">
        <f t="shared" si="0"/>
        <v>1.1205726140878617E-2</v>
      </c>
      <c r="J33" s="105"/>
      <c r="K33" s="80">
        <f>G33/Ihmismäärät!$C$14</f>
        <v>66</v>
      </c>
      <c r="L33" s="79">
        <f t="shared" si="7"/>
        <v>5.5</v>
      </c>
      <c r="M33" s="240">
        <f t="shared" si="8"/>
        <v>2970</v>
      </c>
      <c r="N33" s="105"/>
      <c r="O33" s="238"/>
      <c r="P33" s="238"/>
      <c r="Q33" s="238"/>
      <c r="R33" s="238"/>
      <c r="S33" s="237"/>
    </row>
    <row r="34" spans="1:23" x14ac:dyDescent="0.3">
      <c r="A34" s="31"/>
      <c r="B34" s="31" t="s">
        <v>967</v>
      </c>
      <c r="C34" s="279"/>
      <c r="D34" s="320"/>
      <c r="E34" s="223"/>
      <c r="F34" s="184">
        <f>F33*0.233806</f>
        <v>642.9665</v>
      </c>
      <c r="G34" s="130">
        <f>C33*F34*12</f>
        <v>84593816.472000003</v>
      </c>
      <c r="H34" s="304"/>
      <c r="I34" s="139">
        <f t="shared" si="0"/>
        <v>2.6199660060942662E-3</v>
      </c>
      <c r="J34" s="105"/>
      <c r="K34" s="80">
        <f>G34/Ihmismäärät!$C$14</f>
        <v>15.431196</v>
      </c>
      <c r="L34" s="79">
        <f t="shared" ref="L34" si="15">K34/12</f>
        <v>1.285933</v>
      </c>
      <c r="M34" s="240">
        <f t="shared" ref="M34" si="16">K34*$M$2</f>
        <v>694.40382</v>
      </c>
      <c r="N34" s="105"/>
      <c r="O34" s="238"/>
      <c r="P34" s="238"/>
      <c r="Q34" s="238"/>
      <c r="R34" s="238"/>
      <c r="S34" s="237"/>
    </row>
    <row r="35" spans="1:23" x14ac:dyDescent="0.3">
      <c r="A35" s="31"/>
      <c r="B35" s="31" t="s">
        <v>794</v>
      </c>
      <c r="C35" s="279"/>
      <c r="D35" s="320"/>
      <c r="E35" s="223"/>
      <c r="F35" s="80"/>
      <c r="G35" s="130">
        <f>C33*200*20*12</f>
        <v>526272000</v>
      </c>
      <c r="H35" s="304"/>
      <c r="I35" s="139">
        <f t="shared" si="0"/>
        <v>1.6299238023096171E-2</v>
      </c>
      <c r="J35" s="105"/>
      <c r="K35" s="80">
        <f>G35/Ihmismäärät!$C$14</f>
        <v>96</v>
      </c>
      <c r="L35" s="79">
        <f t="shared" si="7"/>
        <v>8</v>
      </c>
      <c r="M35" s="240">
        <f t="shared" si="8"/>
        <v>4320</v>
      </c>
      <c r="N35" s="105"/>
      <c r="O35" s="238"/>
      <c r="P35" s="238"/>
      <c r="Q35" s="238"/>
      <c r="R35" s="238"/>
      <c r="S35" s="237">
        <f>M3+M9+M15+M19+M28+M32+M37</f>
        <v>28378.152293630032</v>
      </c>
    </row>
    <row r="36" spans="1:23" x14ac:dyDescent="0.3">
      <c r="A36" s="31"/>
      <c r="B36" s="31" t="s">
        <v>795</v>
      </c>
      <c r="C36" s="279"/>
      <c r="D36" s="320"/>
      <c r="E36" s="223"/>
      <c r="F36" s="80"/>
      <c r="G36" s="130">
        <v>1000000000</v>
      </c>
      <c r="H36" s="304"/>
      <c r="I36" s="139">
        <f t="shared" si="0"/>
        <v>3.0971129041819003E-2</v>
      </c>
      <c r="J36" s="105"/>
      <c r="K36" s="80">
        <f>G36/Ihmismäärät!$C$14</f>
        <v>182.41517694272164</v>
      </c>
      <c r="L36" s="79">
        <f t="shared" si="7"/>
        <v>15.201264745226803</v>
      </c>
      <c r="M36" s="240">
        <f t="shared" si="8"/>
        <v>8208.6829624224738</v>
      </c>
      <c r="N36" s="105"/>
      <c r="O36" s="238"/>
      <c r="P36" s="238"/>
      <c r="Q36" s="238"/>
      <c r="R36" s="238"/>
      <c r="S36" s="237"/>
    </row>
    <row r="37" spans="1:23" x14ac:dyDescent="0.3">
      <c r="A37" s="187" t="s">
        <v>842</v>
      </c>
      <c r="B37" s="187"/>
      <c r="C37" s="278">
        <f>SUM(C38)</f>
        <v>10964</v>
      </c>
      <c r="D37" s="319">
        <f>V_Kuitti!E13+V_Kuitti!E17</f>
        <v>19860</v>
      </c>
      <c r="E37" s="223"/>
      <c r="F37" s="189"/>
      <c r="G37" s="190">
        <f>SUM(G38:G40)</f>
        <v>512189816.472</v>
      </c>
      <c r="H37" s="303">
        <f>V_Kuitti!B13</f>
        <v>17397734000</v>
      </c>
      <c r="I37" s="208">
        <f t="shared" si="0"/>
        <v>1.5863096899859905E-2</v>
      </c>
      <c r="J37" s="105"/>
      <c r="K37" s="189">
        <f>G37/Ihmismäärät!$C$14</f>
        <v>93.431196</v>
      </c>
      <c r="L37" s="188">
        <f t="shared" si="7"/>
        <v>7.785933</v>
      </c>
      <c r="M37" s="239">
        <f t="shared" si="8"/>
        <v>4204.4038199999995</v>
      </c>
      <c r="N37" s="105"/>
      <c r="O37" s="238" t="s">
        <v>852</v>
      </c>
      <c r="P37" s="238"/>
      <c r="Q37" s="238"/>
      <c r="R37" s="238"/>
      <c r="S37" s="237"/>
    </row>
    <row r="38" spans="1:23" x14ac:dyDescent="0.3">
      <c r="A38" s="31"/>
      <c r="B38" s="31" t="s">
        <v>834</v>
      </c>
      <c r="C38" s="279">
        <f>Ihmismäärät!$C$14/E38</f>
        <v>10964</v>
      </c>
      <c r="D38" s="320"/>
      <c r="E38" s="223">
        <v>500</v>
      </c>
      <c r="F38" s="184">
        <f>F20</f>
        <v>2750</v>
      </c>
      <c r="G38" s="130">
        <f>F38*12*C38</f>
        <v>361812000</v>
      </c>
      <c r="H38" s="304"/>
      <c r="I38" s="139">
        <f t="shared" si="0"/>
        <v>1.1205726140878617E-2</v>
      </c>
      <c r="J38" s="105"/>
      <c r="K38" s="80">
        <f>G38/Ihmismäärät!$C$14</f>
        <v>66</v>
      </c>
      <c r="L38" s="79">
        <f t="shared" si="7"/>
        <v>5.5</v>
      </c>
      <c r="M38" s="240">
        <f t="shared" si="8"/>
        <v>2970</v>
      </c>
      <c r="N38" s="105"/>
      <c r="O38" s="238"/>
      <c r="P38" s="238"/>
      <c r="Q38" s="238"/>
      <c r="R38" s="238"/>
    </row>
    <row r="39" spans="1:23" x14ac:dyDescent="0.3">
      <c r="A39" s="31"/>
      <c r="B39" s="31" t="s">
        <v>967</v>
      </c>
      <c r="C39" s="279"/>
      <c r="D39" s="320"/>
      <c r="E39" s="223"/>
      <c r="F39" s="184">
        <f>F38*0.233806</f>
        <v>642.9665</v>
      </c>
      <c r="G39" s="130">
        <f>C38*F39*12</f>
        <v>84593816.472000003</v>
      </c>
      <c r="H39" s="304"/>
      <c r="I39" s="139">
        <f t="shared" si="0"/>
        <v>2.6199660060942662E-3</v>
      </c>
      <c r="J39" s="105"/>
      <c r="K39" s="80">
        <f>G39/Ihmismäärät!$C$14</f>
        <v>15.431196</v>
      </c>
      <c r="L39" s="79">
        <f t="shared" ref="L39" si="17">K39/12</f>
        <v>1.285933</v>
      </c>
      <c r="M39" s="240">
        <f t="shared" ref="M39" si="18">K39*$M$2</f>
        <v>694.40382</v>
      </c>
      <c r="N39" s="105"/>
      <c r="O39" s="238"/>
      <c r="P39" s="238"/>
      <c r="Q39" s="238"/>
      <c r="R39" s="238"/>
    </row>
    <row r="40" spans="1:23" x14ac:dyDescent="0.3">
      <c r="A40" s="31"/>
      <c r="B40" s="31" t="s">
        <v>794</v>
      </c>
      <c r="C40" s="279"/>
      <c r="D40" s="320"/>
      <c r="E40" s="223"/>
      <c r="F40" s="80"/>
      <c r="G40" s="130">
        <f>C38*25*20*12</f>
        <v>65784000</v>
      </c>
      <c r="H40" s="304"/>
      <c r="I40" s="139">
        <f t="shared" si="0"/>
        <v>2.0374047528870214E-3</v>
      </c>
      <c r="J40" s="105"/>
      <c r="K40" s="80">
        <f>G40/Ihmismäärät!$C$14</f>
        <v>12</v>
      </c>
      <c r="L40" s="79">
        <f t="shared" si="7"/>
        <v>1</v>
      </c>
      <c r="M40" s="240">
        <f t="shared" si="8"/>
        <v>540</v>
      </c>
      <c r="N40" s="105"/>
      <c r="O40" s="238"/>
      <c r="P40" s="238"/>
      <c r="Q40" s="238"/>
      <c r="R40" s="238"/>
      <c r="S40" s="237">
        <v>32616</v>
      </c>
      <c r="U40">
        <f>(Ihmismäärät!C17+Ihmismäärät!C18+Ihmismäärät!C21)/20</f>
        <v>65585</v>
      </c>
      <c r="V40">
        <f>W40/U40</f>
        <v>83.586185865670501</v>
      </c>
      <c r="W40">
        <f>Ihmismäärät!$C$14</f>
        <v>5482000</v>
      </c>
    </row>
    <row r="41" spans="1:23" x14ac:dyDescent="0.3">
      <c r="A41" s="105" t="s">
        <v>814</v>
      </c>
      <c r="B41" s="105"/>
      <c r="C41" s="354" t="s">
        <v>749</v>
      </c>
      <c r="D41" s="354"/>
      <c r="E41" s="354" t="s">
        <v>907</v>
      </c>
      <c r="F41" s="354" t="s">
        <v>9</v>
      </c>
      <c r="G41" s="354" t="s">
        <v>908</v>
      </c>
      <c r="H41" s="355"/>
      <c r="I41" s="354" t="s">
        <v>839</v>
      </c>
      <c r="J41" s="105"/>
      <c r="K41" s="105" t="s">
        <v>718</v>
      </c>
      <c r="M41" s="238">
        <v>45</v>
      </c>
      <c r="N41" s="105"/>
      <c r="O41" s="238"/>
      <c r="P41" s="238"/>
      <c r="Q41" s="238"/>
      <c r="R41" s="238"/>
    </row>
    <row r="42" spans="1:23" x14ac:dyDescent="0.3">
      <c r="A42" s="191" t="s">
        <v>843</v>
      </c>
      <c r="B42" s="191"/>
      <c r="C42" s="280">
        <f>C43+C45+C47</f>
        <v>79645.628571428562</v>
      </c>
      <c r="D42" s="321">
        <f>V_Kuitti!E14</f>
        <v>1980</v>
      </c>
      <c r="E42" s="225"/>
      <c r="F42" s="193"/>
      <c r="G42" s="214">
        <f>SUM(G43:G51)</f>
        <v>4388988058.1675997</v>
      </c>
      <c r="H42" s="305">
        <f>V_Kuitti!B14</f>
        <v>6799618999.999999</v>
      </c>
      <c r="I42" s="209">
        <f t="shared" ref="I42:I51" si="19">G42/$G$84</f>
        <v>0.13593191551251135</v>
      </c>
      <c r="J42" s="105"/>
      <c r="K42" s="193">
        <f>G42/Ihmismäärät!$C$14</f>
        <v>800.61803323013498</v>
      </c>
      <c r="L42" s="192">
        <f t="shared" si="7"/>
        <v>66.718169435844587</v>
      </c>
      <c r="M42" s="241">
        <f t="shared" si="8"/>
        <v>36027.811495356073</v>
      </c>
      <c r="N42" s="105"/>
      <c r="O42" s="238"/>
      <c r="P42" s="238"/>
      <c r="Q42" s="238"/>
      <c r="R42" s="238"/>
      <c r="S42" s="237">
        <v>40500</v>
      </c>
    </row>
    <row r="43" spans="1:23" x14ac:dyDescent="0.3">
      <c r="A43" s="84"/>
      <c r="B43" s="84" t="s">
        <v>834</v>
      </c>
      <c r="C43" s="281">
        <f>Ihmismäärät!$C$14/E43</f>
        <v>548.20000000000005</v>
      </c>
      <c r="D43" s="322"/>
      <c r="E43" s="226">
        <v>10000</v>
      </c>
      <c r="F43" s="215">
        <f>F29</f>
        <v>2750</v>
      </c>
      <c r="G43" s="122">
        <f>F43*12*C43</f>
        <v>18090600</v>
      </c>
      <c r="H43" s="306"/>
      <c r="I43" s="140">
        <f t="shared" si="19"/>
        <v>5.6028630704393087E-4</v>
      </c>
      <c r="J43" s="105"/>
      <c r="K43" s="86">
        <f>G43/Ihmismäärät!$C$14</f>
        <v>3.3</v>
      </c>
      <c r="L43" s="85">
        <f t="shared" si="7"/>
        <v>0.27499999999999997</v>
      </c>
      <c r="M43" s="242">
        <f t="shared" si="8"/>
        <v>148.5</v>
      </c>
      <c r="N43" s="105"/>
      <c r="O43" s="238"/>
      <c r="P43" s="238"/>
      <c r="Q43" s="238"/>
      <c r="R43" s="238"/>
      <c r="S43" s="237"/>
    </row>
    <row r="44" spans="1:23" x14ac:dyDescent="0.3">
      <c r="A44" s="84"/>
      <c r="B44" s="84" t="s">
        <v>967</v>
      </c>
      <c r="C44" s="281"/>
      <c r="D44" s="322"/>
      <c r="E44" s="226"/>
      <c r="F44" s="215">
        <f>F43*0.233806</f>
        <v>642.9665</v>
      </c>
      <c r="G44" s="122">
        <f>C43*F44*12</f>
        <v>4229690.8235999998</v>
      </c>
      <c r="H44" s="306"/>
      <c r="I44" s="140">
        <f t="shared" si="19"/>
        <v>1.3099830030471329E-4</v>
      </c>
      <c r="J44" s="105"/>
      <c r="K44" s="86">
        <f>G44/Ihmismäärät!$C$14</f>
        <v>0.77155979999999991</v>
      </c>
      <c r="L44" s="85">
        <f t="shared" ref="L44:L48" si="20">K44/12</f>
        <v>6.4296649999999997E-2</v>
      </c>
      <c r="M44" s="242">
        <f t="shared" ref="M44:M48" si="21">K44*$M$2</f>
        <v>34.720190999999993</v>
      </c>
      <c r="N44" s="105"/>
      <c r="O44" s="238"/>
      <c r="P44" s="238"/>
      <c r="Q44" s="238"/>
      <c r="R44" s="238"/>
      <c r="S44" s="237"/>
    </row>
    <row r="45" spans="1:23" x14ac:dyDescent="0.3">
      <c r="A45" s="84"/>
      <c r="B45" s="84" t="s">
        <v>778</v>
      </c>
      <c r="C45" s="281">
        <f>Ihmismäärät!$C$14/E45</f>
        <v>78314.28571428571</v>
      </c>
      <c r="D45" s="322"/>
      <c r="E45" s="226">
        <v>70</v>
      </c>
      <c r="F45" s="215">
        <f>F29</f>
        <v>2750</v>
      </c>
      <c r="G45" s="122">
        <f>F45*12*C45</f>
        <v>2584371428.5714283</v>
      </c>
      <c r="H45" s="306"/>
      <c r="I45" s="140">
        <f t="shared" si="19"/>
        <v>8.0040901006275825E-2</v>
      </c>
      <c r="J45" s="105"/>
      <c r="K45" s="86">
        <f>G45/Ihmismäärät!$C$14</f>
        <v>471.42857142857139</v>
      </c>
      <c r="L45" s="85">
        <f t="shared" si="20"/>
        <v>39.285714285714285</v>
      </c>
      <c r="M45" s="242">
        <f t="shared" si="21"/>
        <v>21214.285714285714</v>
      </c>
      <c r="N45" s="105"/>
      <c r="O45" s="408">
        <f>(C74+C75+C76)/C45</f>
        <v>18.369573148485955</v>
      </c>
      <c r="P45" s="238"/>
      <c r="Q45" s="238"/>
      <c r="R45" s="238"/>
      <c r="S45" s="237"/>
    </row>
    <row r="46" spans="1:23" x14ac:dyDescent="0.3">
      <c r="A46" s="84"/>
      <c r="B46" s="84" t="s">
        <v>967</v>
      </c>
      <c r="C46" s="281"/>
      <c r="D46" s="322"/>
      <c r="E46" s="226"/>
      <c r="F46" s="215">
        <f>F45*0.233806</f>
        <v>642.9665</v>
      </c>
      <c r="G46" s="122">
        <f>C45*F46*12</f>
        <v>604241546.22857141</v>
      </c>
      <c r="H46" s="306"/>
      <c r="I46" s="140">
        <f t="shared" si="19"/>
        <v>1.8714042900673328E-2</v>
      </c>
      <c r="J46" s="105"/>
      <c r="K46" s="86">
        <f>G46/Ihmismäärät!$C$14</f>
        <v>110.22282857142856</v>
      </c>
      <c r="L46" s="85">
        <f t="shared" si="20"/>
        <v>9.1852357142857137</v>
      </c>
      <c r="M46" s="242">
        <f t="shared" si="21"/>
        <v>4960.0272857142854</v>
      </c>
      <c r="N46" s="105"/>
      <c r="O46" s="238"/>
      <c r="P46" s="238"/>
      <c r="Q46" s="238"/>
      <c r="R46" s="238"/>
      <c r="S46" s="237"/>
    </row>
    <row r="47" spans="1:23" x14ac:dyDescent="0.3">
      <c r="A47" s="84"/>
      <c r="B47" s="84" t="s">
        <v>860</v>
      </c>
      <c r="C47" s="281">
        <f>C45/100</f>
        <v>783.14285714285711</v>
      </c>
      <c r="D47" s="322"/>
      <c r="E47" s="226"/>
      <c r="F47" s="215">
        <v>2000</v>
      </c>
      <c r="G47" s="122">
        <f>F47*12*C47</f>
        <v>18795428.571428571</v>
      </c>
      <c r="H47" s="306"/>
      <c r="I47" s="140">
        <f t="shared" si="19"/>
        <v>5.8211564368200604E-4</v>
      </c>
      <c r="J47" s="105"/>
      <c r="K47" s="86">
        <f>G47/Ihmismäärät!$C$14</f>
        <v>3.4285714285714284</v>
      </c>
      <c r="L47" s="85">
        <f t="shared" si="20"/>
        <v>0.2857142857142857</v>
      </c>
      <c r="M47" s="242">
        <f t="shared" si="21"/>
        <v>154.28571428571428</v>
      </c>
      <c r="N47" s="105"/>
      <c r="O47" s="238"/>
      <c r="P47" s="238"/>
      <c r="Q47" s="238"/>
      <c r="R47" s="238"/>
      <c r="S47" s="237"/>
    </row>
    <row r="48" spans="1:23" x14ac:dyDescent="0.3">
      <c r="A48" s="84"/>
      <c r="B48" s="84" t="s">
        <v>967</v>
      </c>
      <c r="C48" s="281"/>
      <c r="D48" s="322"/>
      <c r="E48" s="226"/>
      <c r="F48" s="215">
        <f>F47*0.233806</f>
        <v>467.61200000000002</v>
      </c>
      <c r="G48" s="122">
        <f>C47*F48*12</f>
        <v>4394483.9725714289</v>
      </c>
      <c r="H48" s="306"/>
      <c r="I48" s="140">
        <f t="shared" si="19"/>
        <v>1.3610213018671512E-4</v>
      </c>
      <c r="J48" s="105"/>
      <c r="K48" s="86">
        <f>G48/Ihmismäärät!$C$14</f>
        <v>0.80162057142857146</v>
      </c>
      <c r="L48" s="85">
        <f t="shared" si="20"/>
        <v>6.6801714285714284E-2</v>
      </c>
      <c r="M48" s="242">
        <f t="shared" si="21"/>
        <v>36.072925714285716</v>
      </c>
      <c r="N48" s="105"/>
      <c r="O48" s="238"/>
      <c r="P48" s="238"/>
      <c r="Q48" s="238"/>
      <c r="R48" s="238"/>
      <c r="S48" s="237"/>
    </row>
    <row r="49" spans="1:22" x14ac:dyDescent="0.3">
      <c r="A49" s="84"/>
      <c r="B49" s="84" t="s">
        <v>917</v>
      </c>
      <c r="C49" s="282"/>
      <c r="D49" s="323"/>
      <c r="E49" s="227"/>
      <c r="F49" s="86"/>
      <c r="G49" s="122">
        <f>(C45+C43)*35*20*12</f>
        <v>662444879.99999988</v>
      </c>
      <c r="H49" s="306"/>
      <c r="I49" s="140">
        <f t="shared" si="19"/>
        <v>2.0516665861572303E-2</v>
      </c>
      <c r="J49" s="105"/>
      <c r="K49" s="86">
        <f>G49/Ihmismäärät!$C$14</f>
        <v>120.83999999999997</v>
      </c>
      <c r="L49" s="85">
        <f t="shared" si="7"/>
        <v>10.069999999999999</v>
      </c>
      <c r="M49" s="242">
        <f t="shared" si="8"/>
        <v>5437.7999999999993</v>
      </c>
      <c r="N49" s="105"/>
      <c r="O49" s="238"/>
      <c r="P49" s="238"/>
      <c r="Q49" s="238"/>
      <c r="R49" s="238"/>
      <c r="S49" s="237">
        <f>M62</f>
        <v>17028.845012044949</v>
      </c>
    </row>
    <row r="50" spans="1:22" x14ac:dyDescent="0.3">
      <c r="A50" s="84"/>
      <c r="B50" s="84" t="s">
        <v>850</v>
      </c>
      <c r="C50" s="281">
        <f>C74+C75+C76</f>
        <v>1438600</v>
      </c>
      <c r="D50" s="322"/>
      <c r="E50" s="227"/>
      <c r="F50" s="215">
        <f>1.8*20</f>
        <v>36</v>
      </c>
      <c r="G50" s="122">
        <f>C50*F50*9</f>
        <v>466106400</v>
      </c>
      <c r="H50" s="306"/>
      <c r="I50" s="140">
        <f t="shared" si="19"/>
        <v>1.4435841461617705E-2</v>
      </c>
      <c r="J50" s="105"/>
      <c r="K50" s="86">
        <f>G50/Ihmismäärät!$C$14</f>
        <v>85.024881430134982</v>
      </c>
      <c r="L50" s="85">
        <f t="shared" si="7"/>
        <v>7.0854067858445822</v>
      </c>
      <c r="M50" s="242">
        <f t="shared" si="8"/>
        <v>3826.1196643560743</v>
      </c>
      <c r="N50" s="105"/>
      <c r="O50" s="238"/>
      <c r="P50" s="238"/>
      <c r="Q50" s="238"/>
      <c r="R50" s="238"/>
      <c r="S50" s="270">
        <f>SUM(S40:S49)</f>
        <v>90144.845012044942</v>
      </c>
      <c r="T50">
        <f>S50/M2</f>
        <v>2003.2187780454431</v>
      </c>
      <c r="U50">
        <f>T50/12</f>
        <v>166.93489817045358</v>
      </c>
    </row>
    <row r="51" spans="1:22" x14ac:dyDescent="0.3">
      <c r="A51" s="84"/>
      <c r="B51" s="84" t="s">
        <v>824</v>
      </c>
      <c r="C51" s="282"/>
      <c r="D51" s="323"/>
      <c r="E51" s="227"/>
      <c r="F51" s="86"/>
      <c r="G51" s="122">
        <f>Ihmismäärät!$C$14/100*40*12</f>
        <v>26313600</v>
      </c>
      <c r="H51" s="306"/>
      <c r="I51" s="140">
        <f t="shared" si="19"/>
        <v>8.1496190115480855E-4</v>
      </c>
      <c r="J51" s="105"/>
      <c r="K51" s="86">
        <f>G51/Ihmismäärät!$C$14</f>
        <v>4.8</v>
      </c>
      <c r="L51" s="85">
        <f t="shared" si="7"/>
        <v>0.39999999999999997</v>
      </c>
      <c r="M51" s="242">
        <f t="shared" si="8"/>
        <v>216</v>
      </c>
      <c r="N51" s="105"/>
      <c r="O51" s="238"/>
      <c r="P51" s="238"/>
      <c r="Q51" s="238"/>
      <c r="R51" s="238"/>
      <c r="S51" s="237"/>
    </row>
    <row r="52" spans="1:22" x14ac:dyDescent="0.3">
      <c r="A52" s="105" t="s">
        <v>814</v>
      </c>
      <c r="B52" s="105"/>
      <c r="C52" s="354" t="s">
        <v>749</v>
      </c>
      <c r="D52" s="354"/>
      <c r="E52" s="354" t="s">
        <v>907</v>
      </c>
      <c r="F52" s="354" t="s">
        <v>9</v>
      </c>
      <c r="G52" s="354" t="s">
        <v>908</v>
      </c>
      <c r="H52" s="355"/>
      <c r="I52" s="354" t="s">
        <v>839</v>
      </c>
      <c r="J52" s="105"/>
      <c r="K52" s="105" t="s">
        <v>718</v>
      </c>
      <c r="M52" s="238">
        <v>45</v>
      </c>
      <c r="N52" s="105"/>
      <c r="O52" s="238"/>
      <c r="P52" s="238"/>
      <c r="Q52" s="238"/>
      <c r="R52" s="238"/>
    </row>
    <row r="53" spans="1:22" x14ac:dyDescent="0.3">
      <c r="A53" s="197" t="s">
        <v>844</v>
      </c>
      <c r="B53" s="197"/>
      <c r="C53" s="283">
        <f>C54+C56+C58</f>
        <v>114700.3076923077</v>
      </c>
      <c r="D53" s="324">
        <f>V_Kuitti!E18</f>
        <v>2050</v>
      </c>
      <c r="E53" s="228"/>
      <c r="F53" s="199"/>
      <c r="G53" s="217">
        <f>SUM(G54:G60)</f>
        <v>5236246767.5335379</v>
      </c>
      <c r="H53" s="307">
        <f>V_Kuitti!B18</f>
        <v>13205943000</v>
      </c>
      <c r="I53" s="210">
        <f t="shared" ref="I53:I60" si="22">G53/$G$84</f>
        <v>0.16217247433208884</v>
      </c>
      <c r="J53" s="105"/>
      <c r="K53" s="199">
        <f>G53/Ihmismäärät!$C$14</f>
        <v>955.17088061538448</v>
      </c>
      <c r="L53" s="198">
        <f t="shared" si="7"/>
        <v>79.597573384615373</v>
      </c>
      <c r="M53" s="243">
        <f t="shared" si="8"/>
        <v>42982.6896276923</v>
      </c>
      <c r="N53" s="105"/>
      <c r="O53" s="238"/>
      <c r="P53" s="238"/>
      <c r="Q53" s="238"/>
      <c r="R53" s="238"/>
      <c r="S53" s="237"/>
    </row>
    <row r="54" spans="1:22" x14ac:dyDescent="0.3">
      <c r="A54" s="123"/>
      <c r="B54" s="123" t="s">
        <v>857</v>
      </c>
      <c r="C54" s="284">
        <f>Ihmismäärät!$C$14/E54</f>
        <v>21084.615384615383</v>
      </c>
      <c r="D54" s="325"/>
      <c r="E54" s="229">
        <v>260</v>
      </c>
      <c r="F54" s="216">
        <v>4000</v>
      </c>
      <c r="G54" s="127">
        <f>F54*12*C54</f>
        <v>1012061538.4615384</v>
      </c>
      <c r="H54" s="308"/>
      <c r="I54" s="141">
        <f t="shared" si="22"/>
        <v>3.1344688505954177E-2</v>
      </c>
      <c r="J54" s="105"/>
      <c r="K54" s="186">
        <f>G54/Ihmismäärät!$C$14</f>
        <v>184.61538461538461</v>
      </c>
      <c r="L54" s="185">
        <f t="shared" si="7"/>
        <v>15.384615384615385</v>
      </c>
      <c r="M54" s="244">
        <f t="shared" si="8"/>
        <v>8307.6923076923067</v>
      </c>
      <c r="N54" s="105"/>
      <c r="O54" s="238"/>
      <c r="P54" s="238"/>
      <c r="Q54" s="238"/>
      <c r="R54" s="238"/>
      <c r="S54" s="237"/>
    </row>
    <row r="55" spans="1:22" x14ac:dyDescent="0.3">
      <c r="A55" s="123"/>
      <c r="B55" s="123" t="s">
        <v>967</v>
      </c>
      <c r="C55" s="284"/>
      <c r="D55" s="325"/>
      <c r="E55" s="229"/>
      <c r="F55" s="216">
        <f>F54*0.233806</f>
        <v>935.22400000000005</v>
      </c>
      <c r="G55" s="127">
        <f>C54*F55*12</f>
        <v>236626060.06153846</v>
      </c>
      <c r="H55" s="308"/>
      <c r="I55" s="141">
        <f t="shared" si="22"/>
        <v>7.3285762408231217E-3</v>
      </c>
      <c r="J55" s="105"/>
      <c r="K55" s="186">
        <f>G55/Ihmismäärät!$C$14</f>
        <v>43.164184615384613</v>
      </c>
      <c r="L55" s="185">
        <f t="shared" ref="L55:L60" si="23">K55/12</f>
        <v>3.5970153846153843</v>
      </c>
      <c r="M55" s="244">
        <f t="shared" ref="M55:M60" si="24">K55*$M$2</f>
        <v>1942.3883076923075</v>
      </c>
      <c r="N55" s="105"/>
      <c r="O55" s="238"/>
      <c r="P55" s="238"/>
      <c r="Q55" s="238"/>
      <c r="R55" s="238"/>
      <c r="S55" s="237"/>
    </row>
    <row r="56" spans="1:22" x14ac:dyDescent="0.3">
      <c r="A56" s="123"/>
      <c r="B56" s="123" t="s">
        <v>858</v>
      </c>
      <c r="C56" s="284">
        <f>Ihmismäärät!$C$14/E56</f>
        <v>91366.666666666672</v>
      </c>
      <c r="D56" s="325"/>
      <c r="E56" s="229">
        <v>60</v>
      </c>
      <c r="F56" s="216">
        <v>2300</v>
      </c>
      <c r="G56" s="127">
        <f>F56*12*C56</f>
        <v>2521720000</v>
      </c>
      <c r="H56" s="308"/>
      <c r="I56" s="141">
        <f t="shared" si="22"/>
        <v>7.8100515527335823E-2</v>
      </c>
      <c r="J56" s="105"/>
      <c r="K56" s="186">
        <f>G56/Ihmismäärät!$C$14</f>
        <v>460</v>
      </c>
      <c r="L56" s="185">
        <f t="shared" si="23"/>
        <v>38.333333333333336</v>
      </c>
      <c r="M56" s="244">
        <f t="shared" si="24"/>
        <v>20700</v>
      </c>
      <c r="N56" s="105"/>
      <c r="O56" s="238"/>
      <c r="P56" s="238"/>
      <c r="Q56" s="238"/>
      <c r="R56" s="238"/>
      <c r="S56" s="237"/>
    </row>
    <row r="57" spans="1:22" x14ac:dyDescent="0.3">
      <c r="A57" s="123"/>
      <c r="B57" s="123" t="s">
        <v>967</v>
      </c>
      <c r="C57" s="284"/>
      <c r="D57" s="325"/>
      <c r="E57" s="229"/>
      <c r="F57" s="216">
        <f>F56*0.233806</f>
        <v>537.75380000000007</v>
      </c>
      <c r="G57" s="127">
        <f>C56*F57*12</f>
        <v>589593266.32000017</v>
      </c>
      <c r="H57" s="308"/>
      <c r="I57" s="141">
        <f t="shared" si="22"/>
        <v>1.8260369133384285E-2</v>
      </c>
      <c r="J57" s="105"/>
      <c r="K57" s="186">
        <f>G57/Ihmismäärät!$C$14</f>
        <v>107.55076000000003</v>
      </c>
      <c r="L57" s="185">
        <f t="shared" si="23"/>
        <v>8.9625633333333354</v>
      </c>
      <c r="M57" s="244">
        <f t="shared" si="24"/>
        <v>4839.784200000001</v>
      </c>
      <c r="N57" s="105"/>
      <c r="O57" s="238"/>
      <c r="P57" s="238"/>
      <c r="Q57" s="238"/>
      <c r="R57" s="238"/>
      <c r="S57" s="237"/>
    </row>
    <row r="58" spans="1:22" x14ac:dyDescent="0.3">
      <c r="A58" s="123"/>
      <c r="B58" s="123" t="s">
        <v>860</v>
      </c>
      <c r="C58" s="284">
        <f>(C54+C56)/50</f>
        <v>2249.0256410256411</v>
      </c>
      <c r="D58" s="325"/>
      <c r="E58" s="229"/>
      <c r="F58" s="216">
        <v>2000</v>
      </c>
      <c r="G58" s="127">
        <f>F58*12*C58</f>
        <v>53976615.384615384</v>
      </c>
      <c r="H58" s="308"/>
      <c r="I58" s="141">
        <f t="shared" si="22"/>
        <v>1.671716720317556E-3</v>
      </c>
      <c r="J58" s="105"/>
      <c r="K58" s="186">
        <f>G58/Ihmismäärät!$C$14</f>
        <v>9.8461538461538467</v>
      </c>
      <c r="L58" s="185">
        <f t="shared" si="23"/>
        <v>0.8205128205128206</v>
      </c>
      <c r="M58" s="244">
        <f t="shared" si="24"/>
        <v>443.07692307692309</v>
      </c>
      <c r="N58" s="105"/>
      <c r="O58" s="238"/>
      <c r="P58" s="238"/>
      <c r="Q58" s="238"/>
      <c r="R58" s="238"/>
      <c r="S58" s="237"/>
    </row>
    <row r="59" spans="1:22" x14ac:dyDescent="0.3">
      <c r="A59" s="123"/>
      <c r="B59" s="123" t="s">
        <v>967</v>
      </c>
      <c r="C59" s="284"/>
      <c r="D59" s="325"/>
      <c r="E59" s="229"/>
      <c r="F59" s="216">
        <f>F58*0.233806</f>
        <v>467.61200000000002</v>
      </c>
      <c r="G59" s="127">
        <f>C58*F59*12</f>
        <v>12620056.536615387</v>
      </c>
      <c r="H59" s="308"/>
      <c r="I59" s="141">
        <f t="shared" si="22"/>
        <v>3.9085739951056654E-4</v>
      </c>
      <c r="J59" s="105"/>
      <c r="K59" s="186">
        <f>G59/Ihmismäärät!$C$14</f>
        <v>2.3020898461538466</v>
      </c>
      <c r="L59" s="185">
        <f t="shared" si="23"/>
        <v>0.19184082051282056</v>
      </c>
      <c r="M59" s="244">
        <f t="shared" si="24"/>
        <v>103.5940430769231</v>
      </c>
      <c r="N59" s="105"/>
      <c r="O59" s="238"/>
      <c r="P59" s="238"/>
      <c r="Q59" s="238"/>
      <c r="R59" s="238"/>
      <c r="S59" s="237"/>
    </row>
    <row r="60" spans="1:22" x14ac:dyDescent="0.3">
      <c r="A60" s="123"/>
      <c r="B60" s="123" t="s">
        <v>784</v>
      </c>
      <c r="C60" s="285"/>
      <c r="D60" s="326"/>
      <c r="E60" s="230"/>
      <c r="F60" s="186"/>
      <c r="G60" s="127">
        <f>(C54+C56)*30*20*12</f>
        <v>809649230.76923096</v>
      </c>
      <c r="H60" s="308"/>
      <c r="I60" s="141">
        <f t="shared" si="22"/>
        <v>2.5075750804763347E-2</v>
      </c>
      <c r="J60" s="105"/>
      <c r="K60" s="186">
        <f>G60/Ihmismäärät!$C$14</f>
        <v>147.69230769230774</v>
      </c>
      <c r="L60" s="185">
        <f t="shared" si="23"/>
        <v>12.307692307692312</v>
      </c>
      <c r="M60" s="244">
        <f t="shared" si="24"/>
        <v>6646.1538461538485</v>
      </c>
      <c r="N60" s="105"/>
      <c r="O60" s="238"/>
      <c r="P60" s="238"/>
      <c r="Q60" s="238"/>
      <c r="R60" s="238"/>
      <c r="S60" s="237">
        <f>M71</f>
        <v>140625.56639912439</v>
      </c>
    </row>
    <row r="61" spans="1:22" x14ac:dyDescent="0.3">
      <c r="A61" s="105" t="s">
        <v>814</v>
      </c>
      <c r="B61" s="105"/>
      <c r="C61" s="354" t="s">
        <v>749</v>
      </c>
      <c r="D61" s="354"/>
      <c r="E61" s="354" t="s">
        <v>907</v>
      </c>
      <c r="F61" s="354" t="s">
        <v>9</v>
      </c>
      <c r="G61" s="354" t="s">
        <v>908</v>
      </c>
      <c r="H61" s="355"/>
      <c r="I61" s="354" t="s">
        <v>839</v>
      </c>
      <c r="J61" s="105"/>
      <c r="K61" s="105" t="s">
        <v>718</v>
      </c>
      <c r="M61" s="238">
        <v>45</v>
      </c>
      <c r="N61" s="105"/>
      <c r="O61" s="238"/>
      <c r="P61" s="238"/>
      <c r="Q61" s="238"/>
      <c r="R61" s="238"/>
    </row>
    <row r="62" spans="1:22" x14ac:dyDescent="0.3">
      <c r="A62" s="10" t="s">
        <v>845</v>
      </c>
      <c r="B62" s="10"/>
      <c r="C62" s="286">
        <f>SUM(C63:C66)</f>
        <v>1644.6000000000001</v>
      </c>
      <c r="D62" s="327">
        <f>V_Kuitti!E15+V_Kuitti!E16+V_Kuitti!E19</f>
        <v>10966</v>
      </c>
      <c r="E62" s="231"/>
      <c r="F62" s="195"/>
      <c r="G62" s="218">
        <f>SUM(G63:G69)</f>
        <v>2074491741.24512</v>
      </c>
      <c r="H62" s="309">
        <f>V_Kuitti!B15+V_Kuitti!B16+V_Kuitti!B19</f>
        <v>5750138000</v>
      </c>
      <c r="I62" s="211">
        <f t="shared" ref="I62:I69" si="25">G62/$G$84</f>
        <v>6.4249351414290418E-2</v>
      </c>
      <c r="J62" s="105"/>
      <c r="K62" s="195">
        <f>G62/Ihmismäärät!$C$14</f>
        <v>378.41877804544328</v>
      </c>
      <c r="L62" s="194">
        <f t="shared" si="7"/>
        <v>31.534898170453605</v>
      </c>
      <c r="M62" s="245">
        <f t="shared" si="8"/>
        <v>17028.845012044949</v>
      </c>
      <c r="N62" s="105"/>
      <c r="O62" s="238" t="s">
        <v>853</v>
      </c>
      <c r="P62" s="238"/>
      <c r="Q62" s="238"/>
      <c r="R62" s="238"/>
      <c r="S62" s="237"/>
      <c r="V62">
        <v>250</v>
      </c>
    </row>
    <row r="63" spans="1:22" x14ac:dyDescent="0.3">
      <c r="A63" s="9"/>
      <c r="B63" s="9" t="s">
        <v>749</v>
      </c>
      <c r="C63" s="287">
        <f>Ihmismäärät!$C$14/E63</f>
        <v>1096.4000000000001</v>
      </c>
      <c r="D63" s="328"/>
      <c r="E63" s="232">
        <v>5000</v>
      </c>
      <c r="F63" s="219">
        <f>F43</f>
        <v>2750</v>
      </c>
      <c r="G63" s="136">
        <f>F63*12*C63</f>
        <v>36181200</v>
      </c>
      <c r="H63" s="310"/>
      <c r="I63" s="142">
        <f t="shared" si="25"/>
        <v>1.1205726140878617E-3</v>
      </c>
      <c r="J63" s="105"/>
      <c r="K63" s="82">
        <f>G63/Ihmismäärät!$C$14</f>
        <v>6.6</v>
      </c>
      <c r="L63" s="81">
        <f t="shared" si="7"/>
        <v>0.54999999999999993</v>
      </c>
      <c r="M63" s="246">
        <f t="shared" si="8"/>
        <v>297</v>
      </c>
      <c r="N63" s="105"/>
      <c r="O63" s="238" t="s">
        <v>854</v>
      </c>
      <c r="P63" s="238"/>
      <c r="Q63" s="238"/>
      <c r="R63" s="238"/>
      <c r="S63" s="237"/>
    </row>
    <row r="64" spans="1:22" x14ac:dyDescent="0.3">
      <c r="A64" s="9"/>
      <c r="B64" s="9" t="s">
        <v>967</v>
      </c>
      <c r="C64" s="287"/>
      <c r="D64" s="328"/>
      <c r="E64" s="232"/>
      <c r="F64" s="219">
        <f>F63*0.233806</f>
        <v>642.9665</v>
      </c>
      <c r="G64" s="136">
        <f>C63*F64*12</f>
        <v>8459381.6471999995</v>
      </c>
      <c r="H64" s="310"/>
      <c r="I64" s="142">
        <f t="shared" si="25"/>
        <v>2.6199660060942658E-4</v>
      </c>
      <c r="J64" s="105"/>
      <c r="K64" s="82">
        <f>G64/Ihmismäärät!$C$14</f>
        <v>1.5431195999999998</v>
      </c>
      <c r="L64" s="81">
        <f t="shared" ref="L64:L68" si="26">K64/12</f>
        <v>0.12859329999999999</v>
      </c>
      <c r="M64" s="246">
        <f t="shared" ref="M64:M68" si="27">K64*$M$2</f>
        <v>69.440381999999985</v>
      </c>
      <c r="N64" s="105"/>
      <c r="O64" s="238"/>
      <c r="P64" s="238"/>
      <c r="Q64" s="238"/>
      <c r="R64" s="238"/>
      <c r="S64" s="237"/>
    </row>
    <row r="65" spans="1:21" x14ac:dyDescent="0.3">
      <c r="A65" s="9"/>
      <c r="B65" s="9" t="s">
        <v>793</v>
      </c>
      <c r="C65" s="288"/>
      <c r="D65" s="329"/>
      <c r="E65" s="233"/>
      <c r="F65" s="82"/>
      <c r="G65" s="136">
        <f>C62*50*20*12</f>
        <v>19735200</v>
      </c>
      <c r="H65" s="310"/>
      <c r="I65" s="142">
        <f t="shared" si="25"/>
        <v>6.1122142586610639E-4</v>
      </c>
      <c r="J65" s="105"/>
      <c r="K65" s="82">
        <f>G65/Ihmismäärät!$C$14</f>
        <v>3.6</v>
      </c>
      <c r="L65" s="81">
        <f t="shared" si="26"/>
        <v>0.3</v>
      </c>
      <c r="M65" s="246">
        <f t="shared" si="27"/>
        <v>162</v>
      </c>
      <c r="N65" s="105"/>
      <c r="O65" s="238"/>
      <c r="P65" s="238"/>
      <c r="Q65" s="238"/>
      <c r="R65" s="238"/>
      <c r="S65" s="237"/>
      <c r="T65" s="77">
        <v>247968</v>
      </c>
    </row>
    <row r="66" spans="1:21" x14ac:dyDescent="0.3">
      <c r="A66" s="9"/>
      <c r="B66" s="9" t="s">
        <v>896</v>
      </c>
      <c r="C66" s="287">
        <f>Ihmismäärät!$C$14/E66</f>
        <v>548.20000000000005</v>
      </c>
      <c r="D66" s="329"/>
      <c r="E66" s="232">
        <v>10000</v>
      </c>
      <c r="F66" s="219">
        <f>F56</f>
        <v>2300</v>
      </c>
      <c r="G66" s="136">
        <f>C66*50*20*12</f>
        <v>6578400.0000000019</v>
      </c>
      <c r="H66" s="310"/>
      <c r="I66" s="142">
        <f t="shared" si="25"/>
        <v>2.0374047528870219E-4</v>
      </c>
      <c r="J66" s="105"/>
      <c r="K66" s="82">
        <f>G66/Ihmismäärät!$C$14</f>
        <v>1.2000000000000004</v>
      </c>
      <c r="L66" s="81">
        <f t="shared" si="26"/>
        <v>0.10000000000000003</v>
      </c>
      <c r="M66" s="246">
        <f t="shared" si="27"/>
        <v>54.000000000000021</v>
      </c>
      <c r="N66" s="105"/>
      <c r="O66" s="238"/>
      <c r="P66" s="238"/>
      <c r="Q66" s="238"/>
      <c r="R66" s="238"/>
      <c r="S66" s="237"/>
    </row>
    <row r="67" spans="1:21" x14ac:dyDescent="0.3">
      <c r="A67" s="9"/>
      <c r="B67" s="9" t="s">
        <v>967</v>
      </c>
      <c r="C67" s="287"/>
      <c r="D67" s="329"/>
      <c r="E67" s="232"/>
      <c r="F67" s="219">
        <f>F66*0.233806</f>
        <v>537.75380000000007</v>
      </c>
      <c r="G67" s="136">
        <f>C66*F67*12</f>
        <v>3537559.597920001</v>
      </c>
      <c r="H67" s="310"/>
      <c r="I67" s="142">
        <f t="shared" si="25"/>
        <v>1.0956221480030571E-4</v>
      </c>
      <c r="J67" s="105"/>
      <c r="K67" s="82">
        <f>G67/Ihmismäärät!$C$14</f>
        <v>0.64530456000000014</v>
      </c>
      <c r="L67" s="81">
        <f t="shared" si="26"/>
        <v>5.3775380000000012E-2</v>
      </c>
      <c r="M67" s="246">
        <f t="shared" si="27"/>
        <v>29.038705200000006</v>
      </c>
      <c r="N67" s="105"/>
      <c r="O67" s="238"/>
      <c r="P67" s="238"/>
      <c r="Q67" s="238"/>
      <c r="R67" s="238"/>
      <c r="S67" s="237"/>
    </row>
    <row r="68" spans="1:21" x14ac:dyDescent="0.3">
      <c r="A68" s="9"/>
      <c r="B68" s="9" t="s">
        <v>819</v>
      </c>
      <c r="C68" s="288"/>
      <c r="D68" s="329"/>
      <c r="E68" s="233"/>
      <c r="F68" s="82"/>
      <c r="G68" s="136">
        <v>1750000000</v>
      </c>
      <c r="H68" s="310"/>
      <c r="I68" s="142">
        <f t="shared" si="25"/>
        <v>5.4199475823183255E-2</v>
      </c>
      <c r="J68" s="105"/>
      <c r="K68" s="82">
        <f>G68/Ihmismäärät!$C$14</f>
        <v>319.22655964976286</v>
      </c>
      <c r="L68" s="81">
        <f t="shared" si="26"/>
        <v>26.602213304146904</v>
      </c>
      <c r="M68" s="246">
        <f t="shared" si="27"/>
        <v>14365.195184239328</v>
      </c>
      <c r="N68" s="105"/>
      <c r="O68" s="332" t="s">
        <v>895</v>
      </c>
      <c r="P68" s="238"/>
      <c r="Q68" s="238"/>
      <c r="R68" s="238"/>
      <c r="S68" s="237"/>
    </row>
    <row r="69" spans="1:21" x14ac:dyDescent="0.3">
      <c r="A69" s="9"/>
      <c r="B69" s="9" t="s">
        <v>825</v>
      </c>
      <c r="C69" s="288"/>
      <c r="D69" s="329"/>
      <c r="E69" s="233"/>
      <c r="F69" s="82"/>
      <c r="G69" s="136">
        <v>250000000</v>
      </c>
      <c r="H69" s="310"/>
      <c r="I69" s="142">
        <f t="shared" si="25"/>
        <v>7.7427822604547508E-3</v>
      </c>
      <c r="J69" s="105"/>
      <c r="K69" s="82">
        <f>G69/Ihmismäärät!$C$14</f>
        <v>45.603794235680411</v>
      </c>
      <c r="L69" s="81">
        <f t="shared" si="7"/>
        <v>3.8003161863067008</v>
      </c>
      <c r="M69" s="246">
        <f t="shared" si="8"/>
        <v>2052.1707406056184</v>
      </c>
      <c r="N69" s="105"/>
      <c r="O69" s="238"/>
      <c r="P69" s="238"/>
      <c r="Q69" s="238"/>
      <c r="R69" s="238"/>
      <c r="S69" s="237"/>
    </row>
    <row r="70" spans="1:21" x14ac:dyDescent="0.3">
      <c r="A70" s="105" t="s">
        <v>814</v>
      </c>
      <c r="B70" s="105"/>
      <c r="C70" s="354" t="s">
        <v>749</v>
      </c>
      <c r="D70" s="354"/>
      <c r="E70" s="354" t="s">
        <v>907</v>
      </c>
      <c r="F70" s="354" t="s">
        <v>9</v>
      </c>
      <c r="G70" s="354" t="s">
        <v>908</v>
      </c>
      <c r="H70" s="355"/>
      <c r="I70" s="354" t="s">
        <v>839</v>
      </c>
      <c r="J70" s="105"/>
      <c r="K70" s="105" t="s">
        <v>718</v>
      </c>
      <c r="M70" s="238">
        <v>45</v>
      </c>
      <c r="N70" s="105"/>
      <c r="O70" s="238"/>
      <c r="P70" s="238"/>
      <c r="Q70" s="238"/>
      <c r="R70" s="238"/>
    </row>
    <row r="71" spans="1:21" x14ac:dyDescent="0.3">
      <c r="A71" s="202" t="s">
        <v>846</v>
      </c>
      <c r="B71" s="202"/>
      <c r="C71" s="289"/>
      <c r="D71" s="330"/>
      <c r="E71" s="234"/>
      <c r="F71" s="204"/>
      <c r="G71" s="200">
        <f>G72+G78+G80+G82+G83+G79</f>
        <v>17131319000</v>
      </c>
      <c r="H71" s="311"/>
      <c r="I71" s="212">
        <f t="shared" ref="I71:I80" si="28">G71/$G$84</f>
        <v>0.53057629140556573</v>
      </c>
      <c r="J71" s="105"/>
      <c r="K71" s="204">
        <f>G71/Ihmismäärät!$C$14</f>
        <v>3125.012586647209</v>
      </c>
      <c r="L71" s="203">
        <f t="shared" si="7"/>
        <v>260.4177155539341</v>
      </c>
      <c r="M71" s="247">
        <f t="shared" si="8"/>
        <v>140625.56639912439</v>
      </c>
      <c r="N71" s="105"/>
      <c r="O71" s="238"/>
      <c r="P71" s="238"/>
      <c r="Q71" s="238"/>
      <c r="R71" s="238"/>
      <c r="S71" s="237"/>
    </row>
    <row r="72" spans="1:21" x14ac:dyDescent="0.3">
      <c r="A72" s="196"/>
      <c r="B72" s="196" t="s">
        <v>914</v>
      </c>
      <c r="C72" s="290">
        <f>Ihmismäärät!C14-Ihmismäärät!C26</f>
        <v>3034000</v>
      </c>
      <c r="D72" s="331"/>
      <c r="E72" s="235"/>
      <c r="F72" s="272"/>
      <c r="G72" s="201">
        <f>G73+G74+G75+G76+G77</f>
        <v>8000124000</v>
      </c>
      <c r="H72" s="312"/>
      <c r="I72" s="213">
        <f t="shared" si="28"/>
        <v>0.24777287275455323</v>
      </c>
      <c r="J72" s="105"/>
      <c r="K72" s="206">
        <f>G72/Ihmismäärät!$C$14</f>
        <v>1459.344035023714</v>
      </c>
      <c r="L72" s="207">
        <f t="shared" si="7"/>
        <v>121.61200291864283</v>
      </c>
      <c r="M72" s="248">
        <f t="shared" si="8"/>
        <v>65670.481576067134</v>
      </c>
      <c r="N72" s="105"/>
      <c r="O72" s="238"/>
      <c r="P72" s="238"/>
      <c r="Q72" s="238"/>
      <c r="R72" s="238"/>
      <c r="S72" s="237">
        <v>600</v>
      </c>
      <c r="T72">
        <f>S72*0.24</f>
        <v>144</v>
      </c>
      <c r="U72">
        <f>T72*12</f>
        <v>1728</v>
      </c>
    </row>
    <row r="73" spans="1:21" x14ac:dyDescent="0.3">
      <c r="A73" s="196"/>
      <c r="B73" s="356" t="s">
        <v>910</v>
      </c>
      <c r="C73" s="290">
        <f>Ihmismäärät!E20</f>
        <v>400000</v>
      </c>
      <c r="D73" s="331"/>
      <c r="E73" s="235"/>
      <c r="F73" s="272">
        <v>300</v>
      </c>
      <c r="G73" s="201">
        <f t="shared" ref="G73:G77" si="29">C73*F73*12</f>
        <v>1440000000</v>
      </c>
      <c r="H73" s="312"/>
      <c r="I73" s="213">
        <f t="shared" si="28"/>
        <v>4.4598425820219369E-2</v>
      </c>
      <c r="J73" s="105"/>
      <c r="K73" s="206">
        <f>G73/Ihmismäärät!$C$14</f>
        <v>262.67785479751916</v>
      </c>
      <c r="L73" s="207">
        <f t="shared" ref="L73:L77" si="30">K73/12</f>
        <v>21.889821233126597</v>
      </c>
      <c r="M73" s="248">
        <f t="shared" ref="M73:M77" si="31">K73*$M$2</f>
        <v>11820.503465888361</v>
      </c>
      <c r="N73" s="105"/>
      <c r="O73" s="238"/>
      <c r="P73" s="238"/>
      <c r="Q73" s="238"/>
      <c r="R73" s="238"/>
      <c r="S73" s="237"/>
    </row>
    <row r="74" spans="1:21" x14ac:dyDescent="0.3">
      <c r="A74" s="196"/>
      <c r="B74" s="356" t="s">
        <v>911</v>
      </c>
      <c r="C74" s="290">
        <f>Ihmismäärät!E17</f>
        <v>550200</v>
      </c>
      <c r="D74" s="331"/>
      <c r="E74" s="235"/>
      <c r="F74" s="272">
        <v>110</v>
      </c>
      <c r="G74" s="201">
        <f t="shared" si="29"/>
        <v>726264000</v>
      </c>
      <c r="H74" s="312"/>
      <c r="I74" s="213">
        <f t="shared" si="28"/>
        <v>2.2493216062427636E-2</v>
      </c>
      <c r="J74" s="105"/>
      <c r="K74" s="206">
        <f>G74/Ihmismäärät!$C$14</f>
        <v>132.4815760671288</v>
      </c>
      <c r="L74" s="207">
        <f t="shared" si="30"/>
        <v>11.040131338927401</v>
      </c>
      <c r="M74" s="248">
        <f t="shared" si="31"/>
        <v>5961.6709230207962</v>
      </c>
      <c r="N74" s="105"/>
      <c r="O74" s="238"/>
      <c r="P74" s="238"/>
      <c r="Q74" s="238"/>
      <c r="R74" s="238"/>
      <c r="S74" s="237"/>
    </row>
    <row r="75" spans="1:21" x14ac:dyDescent="0.3">
      <c r="A75" s="196"/>
      <c r="B75" s="356" t="s">
        <v>966</v>
      </c>
      <c r="C75" s="290">
        <f>Ihmismäärät!C18+Ihmismäärät!C19</f>
        <v>230500</v>
      </c>
      <c r="D75" s="331"/>
      <c r="E75" s="235"/>
      <c r="F75" s="272">
        <v>190</v>
      </c>
      <c r="G75" s="201">
        <f t="shared" si="29"/>
        <v>525540000</v>
      </c>
      <c r="H75" s="312"/>
      <c r="I75" s="213">
        <f t="shared" si="28"/>
        <v>1.6276567156637559E-2</v>
      </c>
      <c r="J75" s="105"/>
      <c r="K75" s="206">
        <f>G75/Ihmismäärät!$C$14</f>
        <v>95.866472090477927</v>
      </c>
      <c r="L75" s="207">
        <f t="shared" si="30"/>
        <v>7.9888726742064939</v>
      </c>
      <c r="M75" s="248">
        <f t="shared" si="31"/>
        <v>4313.991244071507</v>
      </c>
      <c r="N75" s="105"/>
      <c r="O75" s="238"/>
      <c r="P75" s="238"/>
      <c r="Q75" s="238"/>
      <c r="R75" s="238"/>
      <c r="S75" s="237"/>
    </row>
    <row r="76" spans="1:21" x14ac:dyDescent="0.3">
      <c r="A76" s="196"/>
      <c r="B76" s="356" t="s">
        <v>912</v>
      </c>
      <c r="C76" s="290">
        <f>Ihmismäärät!C21</f>
        <v>657900</v>
      </c>
      <c r="D76" s="331"/>
      <c r="E76" s="235"/>
      <c r="F76" s="272">
        <v>400</v>
      </c>
      <c r="G76" s="201">
        <f t="shared" si="29"/>
        <v>3157920000</v>
      </c>
      <c r="H76" s="312"/>
      <c r="I76" s="213">
        <f t="shared" si="28"/>
        <v>9.7804347823741075E-2</v>
      </c>
      <c r="J76" s="105"/>
      <c r="K76" s="206">
        <f>G76/Ihmismäärät!$C$14</f>
        <v>576.05253557095955</v>
      </c>
      <c r="L76" s="207">
        <f t="shared" si="30"/>
        <v>48.004377964246629</v>
      </c>
      <c r="M76" s="248">
        <f t="shared" si="31"/>
        <v>25922.364100693179</v>
      </c>
      <c r="N76" s="105"/>
      <c r="O76" s="238"/>
      <c r="P76" s="238"/>
      <c r="Q76" s="238"/>
      <c r="R76" s="238"/>
      <c r="S76" s="237"/>
      <c r="T76">
        <v>2740</v>
      </c>
      <c r="U76">
        <f>U78+U80</f>
        <v>2739.0499691548425</v>
      </c>
    </row>
    <row r="77" spans="1:21" x14ac:dyDescent="0.3">
      <c r="A77" s="196"/>
      <c r="B77" s="356" t="s">
        <v>913</v>
      </c>
      <c r="C77" s="290">
        <v>320000</v>
      </c>
      <c r="D77" s="331"/>
      <c r="E77" s="235"/>
      <c r="F77" s="272">
        <v>560</v>
      </c>
      <c r="G77" s="201">
        <f t="shared" si="29"/>
        <v>2150400000</v>
      </c>
      <c r="H77" s="312"/>
      <c r="I77" s="213">
        <f t="shared" si="28"/>
        <v>6.6600315891527581E-2</v>
      </c>
      <c r="J77" s="105"/>
      <c r="K77" s="206">
        <f>G77/Ihmismäärät!$C$14</f>
        <v>392.26559649762862</v>
      </c>
      <c r="L77" s="207">
        <f t="shared" si="30"/>
        <v>32.688799708135718</v>
      </c>
      <c r="M77" s="248">
        <f t="shared" si="31"/>
        <v>17651.95184239329</v>
      </c>
      <c r="N77" s="105"/>
      <c r="O77" s="238"/>
      <c r="P77" s="238"/>
      <c r="Q77" s="238"/>
      <c r="R77" s="238"/>
      <c r="S77" s="237"/>
      <c r="T77">
        <v>0.1895</v>
      </c>
      <c r="U77">
        <f>T77</f>
        <v>0.1895</v>
      </c>
    </row>
    <row r="78" spans="1:21" x14ac:dyDescent="0.3">
      <c r="A78" s="196"/>
      <c r="B78" s="356" t="s">
        <v>820</v>
      </c>
      <c r="C78" s="290">
        <v>300000</v>
      </c>
      <c r="D78" s="290"/>
      <c r="E78" s="235"/>
      <c r="F78" s="272">
        <v>700</v>
      </c>
      <c r="G78" s="201">
        <f>C78*F78*12</f>
        <v>2520000000</v>
      </c>
      <c r="H78" s="312"/>
      <c r="I78" s="213">
        <f t="shared" si="28"/>
        <v>7.804724518538389E-2</v>
      </c>
      <c r="J78" s="105"/>
      <c r="K78" s="206">
        <f>G78/Ihmismäärät!$C$14</f>
        <v>459.68624589565854</v>
      </c>
      <c r="L78" s="207">
        <f t="shared" si="7"/>
        <v>38.307187157971548</v>
      </c>
      <c r="M78" s="248">
        <f t="shared" si="8"/>
        <v>20685.881065304635</v>
      </c>
      <c r="N78" s="105"/>
      <c r="O78" s="238"/>
      <c r="P78" s="238"/>
      <c r="Q78" s="238"/>
      <c r="R78" s="238"/>
      <c r="S78" s="237"/>
      <c r="T78">
        <f>T76*T77</f>
        <v>519.23</v>
      </c>
      <c r="U78">
        <f>U80*T82</f>
        <v>519.04996915484264</v>
      </c>
    </row>
    <row r="79" spans="1:21" x14ac:dyDescent="0.3">
      <c r="A79" s="196"/>
      <c r="B79" s="356" t="s">
        <v>963</v>
      </c>
      <c r="C79" s="290"/>
      <c r="D79" s="290"/>
      <c r="E79" s="235"/>
      <c r="F79" s="272"/>
      <c r="G79" s="201">
        <v>1750000000</v>
      </c>
      <c r="H79" s="312"/>
      <c r="I79" s="213">
        <f t="shared" si="28"/>
        <v>5.4199475823183255E-2</v>
      </c>
      <c r="J79" s="105"/>
      <c r="K79" s="206">
        <f>G79/Ihmismäärät!$C$14</f>
        <v>319.22655964976286</v>
      </c>
      <c r="L79" s="207">
        <f t="shared" si="7"/>
        <v>26.602213304146904</v>
      </c>
      <c r="M79" s="248">
        <f t="shared" si="8"/>
        <v>14365.195184239328</v>
      </c>
      <c r="N79" s="105"/>
      <c r="O79" s="238"/>
      <c r="P79" s="238"/>
      <c r="Q79" s="238"/>
      <c r="R79" s="238"/>
      <c r="S79" s="237"/>
    </row>
    <row r="80" spans="1:21" s="2" customFormat="1" x14ac:dyDescent="0.3">
      <c r="A80" s="8"/>
      <c r="B80" s="8" t="s">
        <v>818</v>
      </c>
      <c r="C80" s="388"/>
      <c r="D80" s="388"/>
      <c r="E80" s="389"/>
      <c r="F80" s="390"/>
      <c r="G80" s="391">
        <f>V_tulot!F394+V_tulot!F390+V_tulot!F391+V_tulot!F392+V_tulot!F393+V_tulot!F395+V_tulot!F396+V_tulot!F521+V_tulot!F528+V_tulot!F532+V_tulot!F658+V_tulot!F788-V_tulot!G61-V_tulot!G78-V_tulot!G79-V_tulot!G86-V_tulot!G87-V_tulot!G88-V_tulot!G89</f>
        <v>1813095000</v>
      </c>
      <c r="H80" s="392"/>
      <c r="I80" s="393">
        <f t="shared" si="28"/>
        <v>5.6153599210076829E-2</v>
      </c>
      <c r="J80" s="105"/>
      <c r="K80" s="390">
        <f>G80/Ihmismäärät!$C$14</f>
        <v>330.73604523896387</v>
      </c>
      <c r="L80" s="396">
        <f t="shared" si="7"/>
        <v>27.561337103246988</v>
      </c>
      <c r="M80" s="397">
        <f t="shared" si="8"/>
        <v>14883.122035753375</v>
      </c>
      <c r="N80" s="109"/>
      <c r="O80" s="275"/>
      <c r="P80" s="275"/>
      <c r="Q80" s="275"/>
      <c r="R80" s="275"/>
      <c r="S80" s="276"/>
      <c r="T80" s="2">
        <f>T76-T78</f>
        <v>2220.77</v>
      </c>
      <c r="U80" s="2">
        <v>2220</v>
      </c>
    </row>
    <row r="81" spans="1:60" s="2" customFormat="1" x14ac:dyDescent="0.3">
      <c r="A81" s="8"/>
      <c r="B81" s="8" t="s">
        <v>969</v>
      </c>
      <c r="C81" s="394">
        <v>8</v>
      </c>
      <c r="D81" s="388"/>
      <c r="E81" s="389"/>
      <c r="F81" s="390"/>
      <c r="G81" s="391"/>
      <c r="H81" s="392"/>
      <c r="I81" s="393"/>
      <c r="J81" s="105"/>
      <c r="K81" s="390"/>
      <c r="L81" s="396"/>
      <c r="M81" s="397"/>
      <c r="N81" s="109"/>
      <c r="O81" s="275"/>
      <c r="P81" s="275"/>
      <c r="Q81" s="275"/>
      <c r="R81" s="275"/>
      <c r="S81" s="276"/>
    </row>
    <row r="82" spans="1:60" s="2" customFormat="1" x14ac:dyDescent="0.3">
      <c r="A82" s="8"/>
      <c r="B82" s="8" t="s">
        <v>906</v>
      </c>
      <c r="C82" s="394"/>
      <c r="D82" s="394"/>
      <c r="E82" s="389"/>
      <c r="F82" s="395"/>
      <c r="G82" s="391">
        <v>1500000000</v>
      </c>
      <c r="H82" s="392"/>
      <c r="I82" s="393">
        <f>G82/$G$84</f>
        <v>4.6456693562728503E-2</v>
      </c>
      <c r="J82" s="105"/>
      <c r="K82" s="390">
        <f>G82/Ihmismäärät!$C$14</f>
        <v>273.62276541408244</v>
      </c>
      <c r="L82" s="396">
        <f t="shared" si="7"/>
        <v>22.801897117840202</v>
      </c>
      <c r="M82" s="397">
        <f t="shared" si="8"/>
        <v>12313.024443633709</v>
      </c>
      <c r="N82" s="109"/>
      <c r="O82" s="275"/>
      <c r="P82" s="275"/>
      <c r="Q82" s="275"/>
      <c r="R82" s="275"/>
      <c r="S82" s="276"/>
      <c r="T82" s="2">
        <f>T78/T80</f>
        <v>0.2338062924120913</v>
      </c>
      <c r="U82" s="2">
        <f>U76*U77</f>
        <v>519.04996915484264</v>
      </c>
    </row>
    <row r="83" spans="1:60" x14ac:dyDescent="0.3">
      <c r="A83" s="8"/>
      <c r="B83" s="8" t="s">
        <v>741</v>
      </c>
      <c r="C83" s="388"/>
      <c r="D83" s="388"/>
      <c r="E83" s="389"/>
      <c r="F83" s="390"/>
      <c r="G83" s="391">
        <f>V_tulot!G800*C94</f>
        <v>1548100000</v>
      </c>
      <c r="H83" s="392"/>
      <c r="I83" s="393">
        <f>G83/$G$84</f>
        <v>4.7946404869639997E-2</v>
      </c>
      <c r="J83" s="105"/>
      <c r="K83" s="390">
        <f>G83/Ihmismäärät!$C$14</f>
        <v>282.39693542502738</v>
      </c>
      <c r="L83" s="396">
        <f t="shared" si="7"/>
        <v>23.533077952085616</v>
      </c>
      <c r="M83" s="397">
        <f t="shared" si="8"/>
        <v>12707.862094126232</v>
      </c>
      <c r="N83" s="105"/>
      <c r="O83" s="238"/>
      <c r="P83" s="238"/>
      <c r="Q83" s="238"/>
      <c r="R83" s="238"/>
      <c r="S83" s="237"/>
    </row>
    <row r="84" spans="1:60" x14ac:dyDescent="0.3">
      <c r="A84" s="109" t="s">
        <v>758</v>
      </c>
      <c r="B84" s="109"/>
      <c r="C84" s="291">
        <f>C4+C10+C16+C20+C21+C22+C29+C33+C38+C43+C54+C62+C6+C12+C23+C24+C45+C47+C56</f>
        <v>237209.1791941392</v>
      </c>
      <c r="D84" s="291"/>
      <c r="E84" s="271">
        <f>Ihmismäärät!$C$14/C84</f>
        <v>23.110404153092933</v>
      </c>
      <c r="F84" s="297"/>
      <c r="G84" s="220">
        <f>G3+G9+G15+G19+G32+G37+G42+G53+G62+G71+G28</f>
        <v>32288135141.916924</v>
      </c>
      <c r="H84" s="313"/>
      <c r="I84" s="111"/>
      <c r="J84" s="105"/>
      <c r="K84" s="107">
        <f>K3+K9+K15+K19+K32+K37+K42+K53+K62+K71+K28</f>
        <v>5889.8458850632833</v>
      </c>
      <c r="L84" s="106">
        <f>L3+L9+L15+L19+L32+L37+L42+L53+L62+L71+L28</f>
        <v>490.82049042194029</v>
      </c>
      <c r="M84" s="237">
        <f>M3+M9+M15+M19+M32+M37+M42+M53+M62+M71+M28</f>
        <v>265043.06482784776</v>
      </c>
      <c r="O84" s="97">
        <f>G83</f>
        <v>1548100000</v>
      </c>
      <c r="X84" t="s">
        <v>0</v>
      </c>
      <c r="Y84" s="97">
        <f>V_tulot!G28</f>
        <v>17009000000</v>
      </c>
      <c r="Z84" s="7">
        <v>0.24</v>
      </c>
      <c r="AB84" s="97" t="e">
        <f>Y84*(#REF!/Z84)</f>
        <v>#REF!</v>
      </c>
      <c r="AU84" s="105" t="s">
        <v>0</v>
      </c>
      <c r="AV84" s="118">
        <v>0.2</v>
      </c>
      <c r="AW84" s="113" t="e">
        <f>AB84</f>
        <v>#REF!</v>
      </c>
      <c r="AY84" t="str">
        <f>X91</f>
        <v>Valtion hallinto</v>
      </c>
      <c r="AZ84" t="str">
        <f>Y92</f>
        <v>Presidentti ja eduskunta</v>
      </c>
      <c r="BA84">
        <f>Z92</f>
        <v>201</v>
      </c>
      <c r="BB84">
        <f>E4</f>
        <v>27410</v>
      </c>
      <c r="BC84">
        <f>AA92</f>
        <v>4000</v>
      </c>
      <c r="BD84">
        <f>AB92</f>
        <v>9648000</v>
      </c>
      <c r="BF84">
        <f>AI93</f>
        <v>200</v>
      </c>
      <c r="BG84">
        <f>AJ93</f>
        <v>20</v>
      </c>
      <c r="BH84">
        <f>AB93</f>
        <v>804000</v>
      </c>
    </row>
    <row r="85" spans="1:60" x14ac:dyDescent="0.3">
      <c r="A85" s="105"/>
      <c r="B85" s="105" t="str">
        <f>IF(G85&lt;0,"Alijäämä","Ylijäämä")</f>
        <v>Ylijäämä</v>
      </c>
      <c r="C85" s="277"/>
      <c r="D85" s="277"/>
      <c r="E85" s="221"/>
      <c r="F85" s="105"/>
      <c r="G85" s="113">
        <f>U_tulot!I1-U_Kuitti_yhteis2019!G84</f>
        <v>63999858.083076477</v>
      </c>
      <c r="H85" s="314"/>
      <c r="I85" s="105"/>
      <c r="J85" s="105"/>
      <c r="K85" s="295">
        <f>G85/Ihmismäärät!$C$14</f>
        <v>11.674545436533469</v>
      </c>
      <c r="L85" s="351">
        <f>K85/12</f>
        <v>0.97287878637778913</v>
      </c>
      <c r="M85" s="105"/>
      <c r="O85" s="97">
        <f>O84/2</f>
        <v>774050000</v>
      </c>
      <c r="R85">
        <v>200</v>
      </c>
      <c r="X85" t="s">
        <v>785</v>
      </c>
      <c r="Y85" s="97">
        <f>V_tulot!G23</f>
        <v>9480000000</v>
      </c>
      <c r="Z85" s="7">
        <v>0.3</v>
      </c>
      <c r="AB85" s="97" t="e">
        <f>Y85*(#REF!/Z85)</f>
        <v>#REF!</v>
      </c>
      <c r="AU85" s="105" t="s">
        <v>785</v>
      </c>
      <c r="AV85" s="118">
        <v>0.2</v>
      </c>
      <c r="AW85" s="113" t="e">
        <f t="shared" ref="AW85:AW86" si="32">AB85</f>
        <v>#REF!</v>
      </c>
      <c r="AZ85" t="str">
        <f>Y93</f>
        <v>Rakennukset</v>
      </c>
    </row>
    <row r="86" spans="1:60" x14ac:dyDescent="0.3">
      <c r="A86" s="105" t="s">
        <v>848</v>
      </c>
      <c r="B86" s="105"/>
      <c r="C86" s="277"/>
      <c r="D86" s="277"/>
      <c r="E86" s="221"/>
      <c r="F86" s="105"/>
      <c r="G86" s="237">
        <f>105000000000*C94</f>
        <v>105000000000</v>
      </c>
      <c r="H86" s="315"/>
      <c r="I86" s="263">
        <f>G86/G82</f>
        <v>70</v>
      </c>
      <c r="J86" s="105"/>
      <c r="K86" s="352">
        <f>G86/Ihmismäärät!$C$14</f>
        <v>19153.593578985772</v>
      </c>
      <c r="L86" s="105"/>
      <c r="M86" s="105"/>
      <c r="O86" s="97">
        <f>O85/2</f>
        <v>387025000</v>
      </c>
      <c r="R86">
        <f>R85*0.24</f>
        <v>48</v>
      </c>
      <c r="X86" t="s">
        <v>1</v>
      </c>
      <c r="Y86" s="97">
        <f>V_tulot!G24</f>
        <v>3278000000</v>
      </c>
      <c r="Z86" s="7">
        <v>0.2</v>
      </c>
      <c r="AB86" s="97" t="e">
        <f>Y86*(#REF!/Z86)</f>
        <v>#REF!</v>
      </c>
      <c r="AU86" s="117" t="s">
        <v>1</v>
      </c>
      <c r="AV86" s="118">
        <v>0.15</v>
      </c>
      <c r="AW86" s="119" t="e">
        <f t="shared" si="32"/>
        <v>#REF!</v>
      </c>
      <c r="AY86" t="str">
        <f>X94</f>
        <v>Valtion talous</v>
      </c>
      <c r="AZ86" t="str">
        <f>Y95</f>
        <v>Talouden hoitajat</v>
      </c>
    </row>
    <row r="87" spans="1:60" x14ac:dyDescent="0.3">
      <c r="A87" s="105"/>
      <c r="B87" s="105"/>
      <c r="C87" s="277"/>
      <c r="D87" s="277"/>
      <c r="E87" s="221"/>
      <c r="F87" s="105"/>
      <c r="G87" s="237"/>
      <c r="H87" s="315"/>
      <c r="I87" s="263"/>
      <c r="J87" s="105"/>
      <c r="K87" s="105"/>
      <c r="L87" s="105"/>
      <c r="M87" s="105"/>
      <c r="O87" s="97">
        <f t="shared" ref="O87:O90" si="33">O86/2</f>
        <v>193512500</v>
      </c>
      <c r="X87" t="s">
        <v>786</v>
      </c>
      <c r="Y87" s="97">
        <f>SUM(Y84:Y86)</f>
        <v>29767000000</v>
      </c>
      <c r="AB87" s="97" t="e">
        <f>SUM(AB84:AB86)</f>
        <v>#REF!</v>
      </c>
      <c r="AU87" s="114" t="s">
        <v>792</v>
      </c>
      <c r="AV87" s="115"/>
      <c r="AW87" s="116">
        <f>AB132</f>
        <v>6427031000</v>
      </c>
      <c r="AZ87" t="s">
        <v>812</v>
      </c>
    </row>
    <row r="88" spans="1:60" x14ac:dyDescent="0.3">
      <c r="A88" s="105" t="s">
        <v>968</v>
      </c>
      <c r="B88" s="105"/>
      <c r="C88" s="277"/>
      <c r="D88" s="277"/>
      <c r="E88" s="221"/>
      <c r="F88" s="105"/>
      <c r="G88" s="237">
        <f>G67+G64+G59+G57+G55+G48+G46+G44+G39+G34+G30+G25+G17+G13+G11+G7+G5</f>
        <v>1799858974.4443944</v>
      </c>
      <c r="H88" s="315"/>
      <c r="I88" s="263"/>
      <c r="J88" s="105"/>
      <c r="K88" s="105"/>
      <c r="L88" s="105"/>
      <c r="M88" s="105"/>
      <c r="O88" s="97"/>
      <c r="Y88" s="97"/>
      <c r="AB88" s="97"/>
      <c r="AU88" s="117"/>
      <c r="AV88" s="118"/>
      <c r="AW88" s="119"/>
    </row>
    <row r="89" spans="1:60" x14ac:dyDescent="0.3">
      <c r="A89" s="105"/>
      <c r="B89" s="105"/>
      <c r="C89" s="277"/>
      <c r="D89" s="277"/>
      <c r="E89" s="221"/>
      <c r="F89" s="105"/>
      <c r="G89" s="237"/>
      <c r="H89" s="315"/>
      <c r="I89" s="263"/>
      <c r="J89" s="105"/>
      <c r="K89" s="105"/>
      <c r="L89" s="105"/>
      <c r="M89" s="105"/>
      <c r="O89" s="97">
        <f>O87/2</f>
        <v>96756250</v>
      </c>
      <c r="Y89" s="97"/>
      <c r="AB89" s="97"/>
      <c r="AU89" s="117"/>
      <c r="AV89" s="118"/>
      <c r="AW89" s="119"/>
    </row>
    <row r="90" spans="1:60" x14ac:dyDescent="0.3">
      <c r="G90" s="237">
        <f>G85/C78</f>
        <v>213.33286027692159</v>
      </c>
      <c r="H90" s="315"/>
      <c r="I90" s="263"/>
      <c r="O90" s="97">
        <f t="shared" si="33"/>
        <v>48378125</v>
      </c>
      <c r="Q90" s="11" t="e">
        <f>O90/G92</f>
        <v>#DIV/0!</v>
      </c>
      <c r="X90" s="105" t="s">
        <v>814</v>
      </c>
      <c r="Y90" s="105"/>
      <c r="Z90" s="105" t="s">
        <v>749</v>
      </c>
      <c r="AA90" s="105" t="s">
        <v>9</v>
      </c>
      <c r="AB90" s="105" t="s">
        <v>813</v>
      </c>
      <c r="AC90" s="105" t="s">
        <v>815</v>
      </c>
      <c r="AD90" s="105" t="s">
        <v>823</v>
      </c>
      <c r="AE90" s="105"/>
      <c r="AF90" s="105"/>
      <c r="AG90" s="105"/>
      <c r="AH90" s="105"/>
      <c r="AU90" s="105" t="s">
        <v>786</v>
      </c>
      <c r="AV90" s="112"/>
      <c r="AW90" s="113" t="e">
        <f>SUM(AW84:AW87)</f>
        <v>#REF!</v>
      </c>
      <c r="AY90" t="str">
        <f>X97</f>
        <v>Laki ja oikeus</v>
      </c>
      <c r="AZ90" t="str">
        <f>Y98</f>
        <v>Tuomarit ja lakimiehet</v>
      </c>
    </row>
    <row r="91" spans="1:60" x14ac:dyDescent="0.3">
      <c r="C91" s="293">
        <f>C84+C78+C77+C76+C75+C74+C73</f>
        <v>2695809.1791941393</v>
      </c>
      <c r="E91" s="1">
        <f>Ihmismäärät!C25</f>
        <v>1943016</v>
      </c>
      <c r="G91" s="237">
        <f>G90/12</f>
        <v>17.777738356410133</v>
      </c>
      <c r="H91" s="315"/>
      <c r="I91" s="263"/>
      <c r="L91">
        <v>300</v>
      </c>
      <c r="S91" s="31" t="s">
        <v>765</v>
      </c>
      <c r="T91" s="92" t="e">
        <f>C3+C9+C15+C19+C22+C38+C33+C43+C53+#REF!</f>
        <v>#REF!</v>
      </c>
      <c r="U91" s="87" t="e">
        <f>T91*12</f>
        <v>#REF!</v>
      </c>
      <c r="V91" s="101" t="e">
        <f>U91/$U$103</f>
        <v>#REF!</v>
      </c>
      <c r="W91">
        <v>1</v>
      </c>
      <c r="X91" s="31" t="s">
        <v>757</v>
      </c>
      <c r="Y91" s="31"/>
      <c r="Z91" s="31"/>
      <c r="AA91" s="31"/>
      <c r="AB91" s="130">
        <f>SUM(AB92:AB93)</f>
        <v>10452000</v>
      </c>
      <c r="AC91" s="31"/>
      <c r="AD91" s="139">
        <f>AB91/$AB$124</f>
        <v>3.5564456814325343E-4</v>
      </c>
      <c r="AE91" s="139">
        <v>4.0000000000000002E-4</v>
      </c>
      <c r="AF91" s="130">
        <f>AE91*$AB$124</f>
        <v>11755557.020952381</v>
      </c>
      <c r="AG91" s="130">
        <f>AF91/Ihmismäärät!$C$14</f>
        <v>2.1443920140372823</v>
      </c>
      <c r="AH91" s="152">
        <f>AG91/12</f>
        <v>0.17869933450310685</v>
      </c>
      <c r="AZ91" t="s">
        <v>812</v>
      </c>
      <c r="BA91">
        <f>Z95</f>
        <v>548.20000000000005</v>
      </c>
      <c r="BB91">
        <f>AC95</f>
        <v>10000</v>
      </c>
      <c r="BC91">
        <f>AA95</f>
        <v>3500</v>
      </c>
      <c r="BD91">
        <f>AB95</f>
        <v>23024400.000000004</v>
      </c>
      <c r="BE91" t="str">
        <f>Y96</f>
        <v>Rakennukset</v>
      </c>
      <c r="BF91">
        <f>AI94</f>
        <v>200</v>
      </c>
      <c r="BG91">
        <f>AJ94</f>
        <v>20</v>
      </c>
      <c r="BH91">
        <f>AB96</f>
        <v>2192800.0000000005</v>
      </c>
    </row>
    <row r="92" spans="1:60" x14ac:dyDescent="0.3">
      <c r="G92" s="237"/>
      <c r="H92" s="315"/>
      <c r="I92" s="263"/>
      <c r="L92">
        <v>12</v>
      </c>
      <c r="S92" s="31"/>
      <c r="T92" s="92"/>
      <c r="U92" s="87"/>
      <c r="V92" s="101"/>
      <c r="X92" s="31"/>
      <c r="Y92" s="31" t="s">
        <v>775</v>
      </c>
      <c r="Z92" s="128">
        <v>201</v>
      </c>
      <c r="AA92" s="92">
        <v>4000</v>
      </c>
      <c r="AB92" s="130">
        <f>AA92*12*Z92</f>
        <v>9648000</v>
      </c>
      <c r="AD92" s="139">
        <f t="shared" ref="AD92:AD105" si="34">AB92/$AB$124</f>
        <v>3.2828729367069548E-4</v>
      </c>
      <c r="AE92" s="139"/>
      <c r="AF92" s="130"/>
      <c r="AG92" s="130">
        <f>AF92/Ihmismäärät!$C$14</f>
        <v>0</v>
      </c>
      <c r="AH92" s="152">
        <f t="shared" ref="AH92:AH123" si="35">AG92/12</f>
        <v>0</v>
      </c>
      <c r="AI92" s="72"/>
      <c r="AJ92" s="99"/>
      <c r="AK92" s="97"/>
    </row>
    <row r="93" spans="1:60" x14ac:dyDescent="0.3">
      <c r="B93" t="s">
        <v>862</v>
      </c>
      <c r="C93" s="293">
        <f>Ihmismäärät!C14-Ihmismäärät!C17-Ihmismäärät!C20-C84</f>
        <v>4294590.8208058607</v>
      </c>
      <c r="D93" s="293"/>
      <c r="L93">
        <f>L91*L92</f>
        <v>3600</v>
      </c>
      <c r="O93" t="e">
        <f>G95*Q90</f>
        <v>#DIV/0!</v>
      </c>
      <c r="S93" s="31"/>
      <c r="T93" s="92"/>
      <c r="U93" s="87"/>
      <c r="V93" s="101"/>
      <c r="X93" s="31"/>
      <c r="Y93" s="31" t="s">
        <v>794</v>
      </c>
      <c r="Z93" s="128"/>
      <c r="AA93" s="92"/>
      <c r="AB93" s="130">
        <f>Z92*AI93*AJ93</f>
        <v>804000</v>
      </c>
      <c r="AC93" s="129"/>
      <c r="AD93" s="139">
        <f t="shared" si="34"/>
        <v>2.7357274472557955E-5</v>
      </c>
      <c r="AE93" s="139"/>
      <c r="AF93" s="130"/>
      <c r="AG93" s="130">
        <f>AF93/Ihmismäärät!$C$14</f>
        <v>0</v>
      </c>
      <c r="AH93" s="152">
        <f t="shared" si="35"/>
        <v>0</v>
      </c>
      <c r="AI93" s="72">
        <v>200</v>
      </c>
      <c r="AJ93" s="99">
        <v>20</v>
      </c>
    </row>
    <row r="94" spans="1:60" x14ac:dyDescent="0.3">
      <c r="B94" t="s">
        <v>866</v>
      </c>
      <c r="C94" s="292">
        <v>1</v>
      </c>
      <c r="L94">
        <f>G82/L93</f>
        <v>416666.66666666669</v>
      </c>
      <c r="O94" t="e">
        <f>G96*Q90</f>
        <v>#DIV/0!</v>
      </c>
      <c r="S94" s="84" t="s">
        <v>766</v>
      </c>
      <c r="T94" s="93">
        <f>C42</f>
        <v>79645.628571428562</v>
      </c>
      <c r="U94" s="88">
        <f t="shared" ref="U94:U100" si="36">T94*12</f>
        <v>955747.54285714275</v>
      </c>
      <c r="V94" s="103" t="e">
        <f t="shared" ref="V94:V100" si="37">U94/$U$103</f>
        <v>#REF!</v>
      </c>
      <c r="W94">
        <v>2</v>
      </c>
      <c r="X94" s="31" t="s">
        <v>770</v>
      </c>
      <c r="Y94" s="31"/>
      <c r="Z94" s="31"/>
      <c r="AA94" s="31"/>
      <c r="AB94" s="130">
        <f>SUM(AB95:AB96)</f>
        <v>25217200.000000004</v>
      </c>
      <c r="AC94" s="31"/>
      <c r="AD94" s="139">
        <f t="shared" si="34"/>
        <v>8.5805206695197585E-4</v>
      </c>
      <c r="AE94" s="139">
        <v>8.0000000000000004E-4</v>
      </c>
      <c r="AF94" s="130">
        <f>AE94*$AB$124</f>
        <v>23511114.041904762</v>
      </c>
      <c r="AG94" s="130">
        <f>AF94/Ihmismäärät!$C$14</f>
        <v>4.2887840280745646</v>
      </c>
      <c r="AH94" s="152">
        <f t="shared" si="35"/>
        <v>0.3573986690062137</v>
      </c>
      <c r="AI94" s="72">
        <v>200</v>
      </c>
      <c r="AJ94" s="99">
        <v>20</v>
      </c>
      <c r="AY94" t="str">
        <f>X100</f>
        <v>Turvallisuus</v>
      </c>
      <c r="BA94">
        <f>Z98</f>
        <v>548.20000000000005</v>
      </c>
      <c r="BB94">
        <f>AC98</f>
        <v>10000</v>
      </c>
      <c r="BC94">
        <f>AA98</f>
        <v>3500</v>
      </c>
      <c r="BD94">
        <f>AB98</f>
        <v>23024400.000000004</v>
      </c>
      <c r="BE94" t="str">
        <f>Y99</f>
        <v>Rakennukset</v>
      </c>
      <c r="BF94">
        <f>AI97</f>
        <v>200</v>
      </c>
      <c r="BG94">
        <f>AJ97</f>
        <v>20</v>
      </c>
      <c r="BH94">
        <f>AB99</f>
        <v>2192800.0000000005</v>
      </c>
    </row>
    <row r="95" spans="1:60" x14ac:dyDescent="0.3">
      <c r="G95" s="270">
        <f>G86-G85</f>
        <v>104936000141.91693</v>
      </c>
      <c r="H95" s="317"/>
      <c r="S95" s="84"/>
      <c r="T95" s="93"/>
      <c r="U95" s="88"/>
      <c r="V95" s="103"/>
      <c r="X95" s="31"/>
      <c r="Y95" s="31" t="s">
        <v>774</v>
      </c>
      <c r="Z95" s="128">
        <f>Ihmismäärät!$C$14/AC95</f>
        <v>548.20000000000005</v>
      </c>
      <c r="AA95" s="92">
        <v>3500</v>
      </c>
      <c r="AB95" s="130">
        <f>AA95*12*Z95</f>
        <v>23024400.000000004</v>
      </c>
      <c r="AC95" s="129">
        <v>10000</v>
      </c>
      <c r="AD95" s="139">
        <f t="shared" si="34"/>
        <v>7.8343884373876052E-4</v>
      </c>
      <c r="AE95" s="139"/>
      <c r="AF95" s="130"/>
      <c r="AG95" s="130">
        <f>AF95/Ihmismäärät!$C$14</f>
        <v>0</v>
      </c>
      <c r="AH95" s="152">
        <f t="shared" si="35"/>
        <v>0</v>
      </c>
      <c r="AI95" s="72"/>
      <c r="AJ95" s="99"/>
      <c r="AK95" s="97"/>
    </row>
    <row r="96" spans="1:60" x14ac:dyDescent="0.3">
      <c r="B96" s="12" t="s">
        <v>861</v>
      </c>
      <c r="C96" s="294">
        <v>465800</v>
      </c>
      <c r="D96" s="294"/>
      <c r="G96" s="270">
        <f>G95-G85</f>
        <v>104872000283.83386</v>
      </c>
      <c r="H96" s="317"/>
      <c r="P96" t="e">
        <f>SUM(P97:P98)</f>
        <v>#DIV/0!</v>
      </c>
      <c r="S96" s="84"/>
      <c r="T96" s="93"/>
      <c r="U96" s="88"/>
      <c r="V96" s="103"/>
      <c r="X96" s="31"/>
      <c r="Y96" s="31" t="s">
        <v>794</v>
      </c>
      <c r="Z96" s="128"/>
      <c r="AA96" s="92"/>
      <c r="AB96" s="130">
        <f>Z95*AI94*AJ94</f>
        <v>2192800.0000000005</v>
      </c>
      <c r="AC96" s="129"/>
      <c r="AD96" s="139">
        <f t="shared" si="34"/>
        <v>7.4613223213215298E-5</v>
      </c>
      <c r="AE96" s="139"/>
      <c r="AF96" s="130"/>
      <c r="AG96" s="130">
        <f>AF96/Ihmismäärät!$C$14</f>
        <v>0</v>
      </c>
      <c r="AH96" s="152">
        <f t="shared" si="35"/>
        <v>0</v>
      </c>
      <c r="AI96" s="72"/>
      <c r="AJ96" s="99"/>
      <c r="AK96" s="97"/>
    </row>
    <row r="97" spans="2:60" x14ac:dyDescent="0.3">
      <c r="B97" t="s">
        <v>868</v>
      </c>
      <c r="O97" s="97" t="e">
        <f>O84-O93</f>
        <v>#DIV/0!</v>
      </c>
      <c r="P97" t="e">
        <f>O97/Ihmismäärät!$C$14</f>
        <v>#DIV/0!</v>
      </c>
      <c r="S97" s="83" t="s">
        <v>767</v>
      </c>
      <c r="T97" s="94">
        <f>C80</f>
        <v>0</v>
      </c>
      <c r="U97" s="89">
        <f t="shared" si="36"/>
        <v>0</v>
      </c>
      <c r="V97" s="102" t="e">
        <f t="shared" si="37"/>
        <v>#REF!</v>
      </c>
      <c r="W97">
        <v>3</v>
      </c>
      <c r="X97" s="31" t="s">
        <v>769</v>
      </c>
      <c r="Y97" s="31"/>
      <c r="Z97" s="31"/>
      <c r="AA97" s="31"/>
      <c r="AB97" s="130">
        <f>SUM(AB98:AB99)</f>
        <v>25217200.000000004</v>
      </c>
      <c r="AC97" s="31"/>
      <c r="AD97" s="139">
        <f t="shared" si="34"/>
        <v>8.5805206695197585E-4</v>
      </c>
      <c r="AE97" s="139">
        <v>8.0000000000000004E-4</v>
      </c>
      <c r="AF97" s="130">
        <f>AE97*$AB$124</f>
        <v>23511114.041904762</v>
      </c>
      <c r="AG97" s="130">
        <f>AF97/Ihmismäärät!$C$14</f>
        <v>4.2887840280745646</v>
      </c>
      <c r="AH97" s="152">
        <f t="shared" si="35"/>
        <v>0.3573986690062137</v>
      </c>
      <c r="AI97" s="72">
        <v>200</v>
      </c>
      <c r="AJ97" s="99">
        <v>20</v>
      </c>
      <c r="AZ97" t="str">
        <f>Y101</f>
        <v>Poliisit ja palomiehet</v>
      </c>
      <c r="BA97">
        <f>Z101</f>
        <v>2192.8000000000002</v>
      </c>
      <c r="BB97">
        <f>AC101</f>
        <v>2500</v>
      </c>
      <c r="BC97">
        <f>AA101</f>
        <v>3250</v>
      </c>
      <c r="BD97">
        <f>AB101</f>
        <v>85519200</v>
      </c>
      <c r="BE97" t="str">
        <f>Y102</f>
        <v>Rakennukset ja kalusto</v>
      </c>
      <c r="BF97">
        <f>AI100</f>
        <v>200</v>
      </c>
      <c r="BG97">
        <f>AJ100</f>
        <v>20</v>
      </c>
      <c r="BH97">
        <f>AB102</f>
        <v>8771200.0000000019</v>
      </c>
    </row>
    <row r="98" spans="2:60" x14ac:dyDescent="0.3">
      <c r="O98" s="97" t="e">
        <f>O84-O94</f>
        <v>#DIV/0!</v>
      </c>
      <c r="P98" t="e">
        <f>O98/Ihmismäärät!$C$14</f>
        <v>#DIV/0!</v>
      </c>
      <c r="S98" s="83"/>
      <c r="T98" s="94"/>
      <c r="U98" s="89"/>
      <c r="V98" s="102"/>
      <c r="X98" s="31"/>
      <c r="Y98" s="31" t="s">
        <v>773</v>
      </c>
      <c r="Z98" s="128">
        <f>Ihmismäärät!$C$14/AC98</f>
        <v>548.20000000000005</v>
      </c>
      <c r="AA98" s="92">
        <v>3500</v>
      </c>
      <c r="AB98" s="130">
        <f>AA98*12*Z98</f>
        <v>23024400.000000004</v>
      </c>
      <c r="AC98" s="129">
        <v>10000</v>
      </c>
      <c r="AD98" s="139">
        <f t="shared" si="34"/>
        <v>7.8343884373876052E-4</v>
      </c>
      <c r="AE98" s="139"/>
      <c r="AF98" s="130"/>
      <c r="AG98" s="130">
        <f>AF98/Ihmismäärät!$C$14</f>
        <v>0</v>
      </c>
      <c r="AH98" s="152">
        <f t="shared" si="35"/>
        <v>0</v>
      </c>
      <c r="AI98" s="72"/>
      <c r="AJ98" s="99"/>
      <c r="AK98" s="97"/>
    </row>
    <row r="99" spans="2:60" x14ac:dyDescent="0.3">
      <c r="C99" s="293">
        <f>C72+C84</f>
        <v>3271209.1791941393</v>
      </c>
      <c r="D99" s="293"/>
      <c r="S99" s="83"/>
      <c r="T99" s="94"/>
      <c r="U99" s="89"/>
      <c r="V99" s="102"/>
      <c r="X99" s="31"/>
      <c r="Y99" s="31" t="s">
        <v>794</v>
      </c>
      <c r="Z99" s="128"/>
      <c r="AA99" s="92"/>
      <c r="AB99" s="130">
        <f>Z98*AI97*AJ97</f>
        <v>2192800.0000000005</v>
      </c>
      <c r="AC99" s="129"/>
      <c r="AD99" s="139">
        <f t="shared" si="34"/>
        <v>7.4613223213215298E-5</v>
      </c>
      <c r="AE99" s="139"/>
      <c r="AF99" s="130"/>
      <c r="AG99" s="130">
        <f>AF99/Ihmismäärät!$C$14</f>
        <v>0</v>
      </c>
      <c r="AH99" s="152">
        <f t="shared" si="35"/>
        <v>0</v>
      </c>
      <c r="AI99" s="72"/>
      <c r="AJ99" s="99"/>
      <c r="AK99" s="97"/>
    </row>
    <row r="100" spans="2:60" x14ac:dyDescent="0.3">
      <c r="C100" s="292">
        <f>G86/C99</f>
        <v>32098.2224762119</v>
      </c>
      <c r="S100" s="9" t="s">
        <v>768</v>
      </c>
      <c r="T100" s="95">
        <f>C83+C72+C71</f>
        <v>3034000</v>
      </c>
      <c r="U100" s="90">
        <f t="shared" si="36"/>
        <v>36408000</v>
      </c>
      <c r="V100" s="104" t="e">
        <f t="shared" si="37"/>
        <v>#REF!</v>
      </c>
      <c r="W100">
        <v>4</v>
      </c>
      <c r="X100" s="31" t="s">
        <v>788</v>
      </c>
      <c r="Y100" s="31"/>
      <c r="Z100" s="31"/>
      <c r="AA100" s="31"/>
      <c r="AB100" s="130">
        <f>SUM(AB101:AB102)</f>
        <v>94290400</v>
      </c>
      <c r="AC100" s="31"/>
      <c r="AD100" s="139">
        <f t="shared" si="34"/>
        <v>3.2083685981682572E-3</v>
      </c>
      <c r="AE100" s="139">
        <v>4.0000000000000001E-3</v>
      </c>
      <c r="AF100" s="130">
        <f>AE100*$AB$124</f>
        <v>117555570.20952381</v>
      </c>
      <c r="AG100" s="130">
        <f>AF100/Ihmismäärät!$C$14</f>
        <v>21.443920140372821</v>
      </c>
      <c r="AH100" s="152">
        <f t="shared" si="35"/>
        <v>1.7869933450310684</v>
      </c>
      <c r="AI100" s="72">
        <v>200</v>
      </c>
      <c r="AJ100" s="99">
        <v>20</v>
      </c>
      <c r="AY100" t="str">
        <f>X103</f>
        <v>Puolustusvoimat</v>
      </c>
      <c r="AZ100" t="str">
        <f>Y104</f>
        <v>Rajavartiat, puolustusvoimien työntekijät</v>
      </c>
      <c r="BA100">
        <f>Z104</f>
        <v>3654.6666666666665</v>
      </c>
      <c r="BB100">
        <f>AC104</f>
        <v>1500</v>
      </c>
      <c r="BC100">
        <f>AA104</f>
        <v>3250</v>
      </c>
      <c r="BD100">
        <f>AB104</f>
        <v>142532000</v>
      </c>
      <c r="BE100" t="str">
        <f>Y105</f>
        <v>Rakennukset</v>
      </c>
      <c r="BF100">
        <f>AI103</f>
        <v>150</v>
      </c>
      <c r="BG100">
        <f>AJ103</f>
        <v>20</v>
      </c>
      <c r="BH100">
        <f>AB105</f>
        <v>10964000</v>
      </c>
    </row>
    <row r="101" spans="2:60" x14ac:dyDescent="0.3">
      <c r="C101" s="292">
        <v>32</v>
      </c>
      <c r="G101" s="97">
        <f>G42+G53</f>
        <v>9625234825.7011375</v>
      </c>
      <c r="H101" s="318"/>
      <c r="O101">
        <v>50000</v>
      </c>
      <c r="S101" s="9"/>
      <c r="T101" s="95"/>
      <c r="U101" s="90"/>
      <c r="V101" s="104"/>
      <c r="X101" s="31"/>
      <c r="Y101" s="31" t="s">
        <v>789</v>
      </c>
      <c r="Z101" s="146">
        <f>Ihmismäärät!$C$14/AC101</f>
        <v>2192.8000000000002</v>
      </c>
      <c r="AA101" s="92">
        <v>3250</v>
      </c>
      <c r="AB101" s="130">
        <f>AA101*12*Z101</f>
        <v>85519200</v>
      </c>
      <c r="AC101" s="129">
        <v>2500</v>
      </c>
      <c r="AD101" s="139">
        <f t="shared" si="34"/>
        <v>2.9099157053153958E-3</v>
      </c>
      <c r="AE101" s="139"/>
      <c r="AF101" s="130"/>
      <c r="AG101" s="130">
        <f>AF101/Ihmismäärät!$C$14</f>
        <v>0</v>
      </c>
      <c r="AH101" s="152">
        <f t="shared" si="35"/>
        <v>0</v>
      </c>
      <c r="AI101" s="72"/>
      <c r="AJ101" s="99"/>
      <c r="AK101" s="97"/>
    </row>
    <row r="102" spans="2:60" x14ac:dyDescent="0.3">
      <c r="C102" s="292">
        <f>C100/C101</f>
        <v>1003.0694523816219</v>
      </c>
      <c r="G102" s="97">
        <f>G101*2/4</f>
        <v>4812617412.8505688</v>
      </c>
      <c r="H102" s="318"/>
      <c r="O102">
        <v>300</v>
      </c>
      <c r="S102" s="9"/>
      <c r="T102" s="95"/>
      <c r="U102" s="90"/>
      <c r="V102" s="104"/>
      <c r="X102" s="31"/>
      <c r="Y102" s="31" t="s">
        <v>821</v>
      </c>
      <c r="Z102" s="128"/>
      <c r="AA102" s="92"/>
      <c r="AB102" s="130">
        <f>Z101*AI100*AJ100</f>
        <v>8771200.0000000019</v>
      </c>
      <c r="AC102" s="129"/>
      <c r="AD102" s="139">
        <f t="shared" si="34"/>
        <v>2.9845289285286119E-4</v>
      </c>
      <c r="AE102" s="139"/>
      <c r="AF102" s="130"/>
      <c r="AG102" s="130">
        <f>AF102/Ihmismäärät!$C$14</f>
        <v>0</v>
      </c>
      <c r="AH102" s="152">
        <f t="shared" si="35"/>
        <v>0</v>
      </c>
      <c r="AI102" s="72"/>
      <c r="AJ102" s="99"/>
      <c r="AK102" s="97"/>
    </row>
    <row r="103" spans="2:60" x14ac:dyDescent="0.3">
      <c r="C103" s="292">
        <v>12</v>
      </c>
      <c r="O103">
        <v>12</v>
      </c>
      <c r="S103" s="105" t="s">
        <v>751</v>
      </c>
      <c r="T103" s="106" t="e">
        <f>SUM(T91:T100)</f>
        <v>#REF!</v>
      </c>
      <c r="U103" s="107" t="e">
        <f>SUM(U91:U100)</f>
        <v>#REF!</v>
      </c>
      <c r="V103" s="108" t="e">
        <f>SUM(V91:V100)</f>
        <v>#REF!</v>
      </c>
      <c r="W103">
        <v>5</v>
      </c>
      <c r="X103" s="31" t="s">
        <v>771</v>
      </c>
      <c r="Y103" s="31"/>
      <c r="Z103" s="31"/>
      <c r="AA103" s="31"/>
      <c r="AB103" s="130">
        <f>SUM(AB104:AB106)</f>
        <v>1653496000</v>
      </c>
      <c r="AC103" s="31"/>
      <c r="AD103" s="139">
        <f t="shared" si="34"/>
        <v>5.6262616805070512E-2</v>
      </c>
      <c r="AE103" s="139">
        <v>5.5E-2</v>
      </c>
      <c r="AF103" s="130">
        <f>AE103*$AB$124</f>
        <v>1616389090.3809524</v>
      </c>
      <c r="AG103" s="130">
        <f>AF103/Ihmismäärät!$C$14</f>
        <v>294.85390193012631</v>
      </c>
      <c r="AH103" s="152">
        <f t="shared" si="35"/>
        <v>24.571158494177194</v>
      </c>
      <c r="AI103" s="72">
        <v>150</v>
      </c>
      <c r="AJ103" s="99">
        <v>20</v>
      </c>
      <c r="AY103" t="str">
        <f>X111</f>
        <v>Terveydenhuolto</v>
      </c>
      <c r="AZ103" t="str">
        <f>Y112</f>
        <v>Lääkärit ja hoitajat</v>
      </c>
      <c r="BA103">
        <f>Z112</f>
        <v>91366.666666666672</v>
      </c>
      <c r="BB103">
        <f>AC112</f>
        <v>60</v>
      </c>
      <c r="BC103">
        <f>AA112</f>
        <v>3250</v>
      </c>
      <c r="BD103">
        <f>AB112</f>
        <v>3563300000</v>
      </c>
      <c r="BE103" t="str">
        <f>Y113</f>
        <v>Rakennukset, laitteet</v>
      </c>
      <c r="BF103">
        <f>AI111</f>
        <v>200</v>
      </c>
      <c r="BG103">
        <f>AJ111</f>
        <v>20</v>
      </c>
      <c r="BH103">
        <f>AB113</f>
        <v>365466666.66666675</v>
      </c>
    </row>
    <row r="104" spans="2:60" x14ac:dyDescent="0.3">
      <c r="C104" s="292">
        <f>C102/C103</f>
        <v>83.589121031801824</v>
      </c>
      <c r="O104" s="113">
        <f>O101*O102*O103</f>
        <v>180000000</v>
      </c>
      <c r="S104" s="105"/>
      <c r="T104" s="106"/>
      <c r="U104" s="107"/>
      <c r="V104" s="108"/>
      <c r="X104" s="31"/>
      <c r="Y104" s="31" t="s">
        <v>776</v>
      </c>
      <c r="Z104" s="146">
        <f>Ihmismäärät!$C$14/AC104</f>
        <v>3654.6666666666665</v>
      </c>
      <c r="AA104" s="92">
        <f>AA101</f>
        <v>3250</v>
      </c>
      <c r="AB104" s="130">
        <f>AA104*12*Z104</f>
        <v>142532000</v>
      </c>
      <c r="AC104" s="129">
        <v>1500</v>
      </c>
      <c r="AD104" s="139">
        <f t="shared" si="34"/>
        <v>4.8498595088589929E-3</v>
      </c>
      <c r="AE104" s="139"/>
      <c r="AF104" s="130"/>
      <c r="AG104" s="130">
        <f>AF104/Ihmismäärät!$C$14</f>
        <v>0</v>
      </c>
      <c r="AH104" s="152">
        <f t="shared" si="35"/>
        <v>0</v>
      </c>
      <c r="AI104" s="72"/>
      <c r="AJ104" s="99"/>
      <c r="AK104" s="97"/>
    </row>
    <row r="105" spans="2:60" x14ac:dyDescent="0.3">
      <c r="S105" s="105"/>
      <c r="T105" s="106"/>
      <c r="U105" s="107"/>
      <c r="V105" s="108"/>
      <c r="X105" s="31"/>
      <c r="Y105" s="31" t="s">
        <v>794</v>
      </c>
      <c r="Z105" s="128"/>
      <c r="AA105" s="92"/>
      <c r="AB105" s="130">
        <f>Z104*AI103*AJ103</f>
        <v>10964000</v>
      </c>
      <c r="AC105" s="129"/>
      <c r="AD105" s="139">
        <f t="shared" si="34"/>
        <v>3.7306611606607637E-4</v>
      </c>
      <c r="AE105" s="139"/>
      <c r="AF105" s="130"/>
      <c r="AG105" s="130">
        <f>AF105/Ihmismäärät!$C$14</f>
        <v>0</v>
      </c>
      <c r="AH105" s="152">
        <f t="shared" si="35"/>
        <v>0</v>
      </c>
      <c r="AI105" s="72"/>
      <c r="AJ105" s="99"/>
      <c r="AK105" s="97"/>
    </row>
    <row r="106" spans="2:60" x14ac:dyDescent="0.3">
      <c r="B106" t="s">
        <v>963</v>
      </c>
      <c r="C106" s="381">
        <f>E106/12</f>
        <v>30.402529490453606</v>
      </c>
      <c r="D106" s="6"/>
      <c r="E106" s="382">
        <f>G106/Ihmismäärät!C14</f>
        <v>364.83035388544329</v>
      </c>
      <c r="G106" s="113">
        <v>2000000000</v>
      </c>
      <c r="H106" s="317"/>
      <c r="X106" s="31"/>
      <c r="Y106" s="31" t="s">
        <v>795</v>
      </c>
      <c r="Z106" s="128"/>
      <c r="AA106" s="92"/>
      <c r="AB106" s="130">
        <v>1500000000</v>
      </c>
      <c r="AC106" s="129"/>
      <c r="AD106" s="139">
        <f>AB106/AB124</f>
        <v>5.1039691180145438E-2</v>
      </c>
      <c r="AE106" s="139"/>
      <c r="AF106" s="130"/>
      <c r="AG106" s="130">
        <f>AF106/Ihmismäärät!$C$14</f>
        <v>0</v>
      </c>
      <c r="AH106" s="152">
        <f t="shared" si="35"/>
        <v>0</v>
      </c>
      <c r="AI106" s="72"/>
      <c r="AJ106" s="99"/>
      <c r="AK106" s="97"/>
    </row>
    <row r="107" spans="2:60" x14ac:dyDescent="0.3">
      <c r="G107">
        <v>12</v>
      </c>
      <c r="W107">
        <v>6</v>
      </c>
      <c r="X107" s="84" t="s">
        <v>766</v>
      </c>
      <c r="Y107" s="84"/>
      <c r="Z107" s="84"/>
      <c r="AA107" s="84"/>
      <c r="AB107" s="122">
        <f>SUM(AB108:AB110)</f>
        <v>3392514285.7142859</v>
      </c>
      <c r="AC107" s="84"/>
      <c r="AD107" s="140">
        <f>AB107/$AB$124</f>
        <v>0.11543525431139257</v>
      </c>
      <c r="AE107" s="140"/>
      <c r="AF107" s="122"/>
      <c r="AG107" s="122">
        <f>AF107/Ihmismäärät!$C$14</f>
        <v>0</v>
      </c>
      <c r="AH107" s="153">
        <f t="shared" si="35"/>
        <v>0</v>
      </c>
      <c r="AI107" s="72">
        <v>100</v>
      </c>
      <c r="AJ107" s="99">
        <v>40</v>
      </c>
      <c r="AY107" t="str">
        <f>X114</f>
        <v>Ympäristö</v>
      </c>
      <c r="AZ107">
        <f>Y114</f>
        <v>0</v>
      </c>
      <c r="BA107">
        <f>Z115</f>
        <v>548.20000000000005</v>
      </c>
      <c r="BB107">
        <f>AC115</f>
        <v>10000</v>
      </c>
      <c r="BC107">
        <f>AA115</f>
        <v>3250</v>
      </c>
      <c r="BD107">
        <f>AB115</f>
        <v>21379800</v>
      </c>
      <c r="BE107" t="str">
        <f>Y116</f>
        <v>Rakennukset ja laitteet</v>
      </c>
      <c r="BF107">
        <f>AI114</f>
        <v>200</v>
      </c>
      <c r="BG107">
        <f>AJ114</f>
        <v>100</v>
      </c>
      <c r="BH107">
        <f>AB116</f>
        <v>10964000.000000002</v>
      </c>
    </row>
    <row r="108" spans="2:60" x14ac:dyDescent="0.3">
      <c r="F108" s="270">
        <f>G86/Ihmismäärät!$C$14</f>
        <v>19153.593578985772</v>
      </c>
      <c r="G108">
        <f>F108/G107</f>
        <v>1596.1327982488144</v>
      </c>
      <c r="O108" t="s">
        <v>909</v>
      </c>
      <c r="X108" s="84"/>
      <c r="Y108" s="84" t="s">
        <v>778</v>
      </c>
      <c r="Z108" s="144">
        <f>Ihmismäärät!$C$14/AC108</f>
        <v>78314.28571428571</v>
      </c>
      <c r="AA108" s="93">
        <f>AA101</f>
        <v>3250</v>
      </c>
      <c r="AB108" s="122">
        <f>AA108*12*Z108</f>
        <v>3054257142.8571429</v>
      </c>
      <c r="AC108" s="121">
        <v>70</v>
      </c>
      <c r="AD108" s="140">
        <f t="shared" ref="AD108:AD110" si="38">AB108/$AB$124</f>
        <v>0.10392556090412128</v>
      </c>
      <c r="AE108" s="140">
        <v>0.105</v>
      </c>
      <c r="AF108" s="122">
        <f t="shared" ref="AF108:AF110" si="39">AE108*$AB$124</f>
        <v>3085833717.9999995</v>
      </c>
      <c r="AG108" s="122">
        <f>AF108/Ihmismäärät!$C$14</f>
        <v>562.90290368478645</v>
      </c>
      <c r="AH108" s="153">
        <f t="shared" si="35"/>
        <v>46.90857530706554</v>
      </c>
      <c r="AI108" s="72"/>
      <c r="AJ108" s="99"/>
      <c r="AK108" s="97"/>
    </row>
    <row r="109" spans="2:60" x14ac:dyDescent="0.3">
      <c r="G109">
        <v>32</v>
      </c>
      <c r="X109" s="84"/>
      <c r="Y109" s="84" t="s">
        <v>779</v>
      </c>
      <c r="Z109" s="120"/>
      <c r="AA109" s="93"/>
      <c r="AB109" s="122">
        <f>Z108*AI107*AJ107</f>
        <v>313257142.85714281</v>
      </c>
      <c r="AC109" s="121"/>
      <c r="AD109" s="140">
        <f t="shared" si="38"/>
        <v>1.065903188760218E-2</v>
      </c>
      <c r="AE109" s="140">
        <v>0.01</v>
      </c>
      <c r="AF109" s="122">
        <f t="shared" si="39"/>
        <v>293888925.52380949</v>
      </c>
      <c r="AG109" s="122">
        <f>AF109/Ihmismäärät!$C$14</f>
        <v>53.609800350932048</v>
      </c>
      <c r="AH109" s="153">
        <f t="shared" si="35"/>
        <v>4.4674833625776706</v>
      </c>
      <c r="AI109" s="72"/>
      <c r="AJ109" s="99"/>
      <c r="AK109" s="97"/>
    </row>
    <row r="110" spans="2:60" x14ac:dyDescent="0.3">
      <c r="G110">
        <f>G108/G109</f>
        <v>49.879149945275451</v>
      </c>
      <c r="X110" s="84"/>
      <c r="Y110" s="84" t="s">
        <v>824</v>
      </c>
      <c r="Z110" s="120"/>
      <c r="AA110" s="93"/>
      <c r="AB110" s="122">
        <v>25000000</v>
      </c>
      <c r="AC110" s="121"/>
      <c r="AD110" s="140">
        <f t="shared" si="38"/>
        <v>8.506615196690907E-4</v>
      </c>
      <c r="AE110" s="140">
        <v>1E-3</v>
      </c>
      <c r="AF110" s="122">
        <f t="shared" si="39"/>
        <v>29388892.552380953</v>
      </c>
      <c r="AG110" s="122">
        <f>AF110/Ihmismäärät!$C$14</f>
        <v>5.3609800350932053</v>
      </c>
      <c r="AH110" s="153">
        <f t="shared" si="35"/>
        <v>0.44674833625776711</v>
      </c>
      <c r="AI110" s="72"/>
      <c r="AJ110" s="99"/>
      <c r="AK110" s="97"/>
    </row>
    <row r="111" spans="2:60" x14ac:dyDescent="0.3">
      <c r="B111" t="s">
        <v>901</v>
      </c>
      <c r="G111" s="97">
        <f>G63+G54+G56+G58+G66+G47+G45+G43+G38+G33+G29+G20+G21+G22+G23+G24+G16+G10+G12+G4+G6</f>
        <v>7689535273.8461533</v>
      </c>
      <c r="W111">
        <v>7</v>
      </c>
      <c r="X111" s="123" t="s">
        <v>772</v>
      </c>
      <c r="Y111" s="123"/>
      <c r="Z111" s="123"/>
      <c r="AA111" s="123"/>
      <c r="AB111" s="127">
        <f>SUM(AB112:AB113)</f>
        <v>3928766666.666667</v>
      </c>
      <c r="AC111" s="123"/>
      <c r="AD111" s="141">
        <f>AB111/$AB$124</f>
        <v>0.13368202492367739</v>
      </c>
      <c r="AE111" s="141"/>
      <c r="AF111" s="127"/>
      <c r="AG111" s="127">
        <f>AF111/Ihmismäärät!$C$14</f>
        <v>0</v>
      </c>
      <c r="AH111" s="154">
        <f t="shared" si="35"/>
        <v>0</v>
      </c>
      <c r="AI111" s="72">
        <v>200</v>
      </c>
      <c r="AJ111" s="99">
        <v>20</v>
      </c>
      <c r="AY111" t="str">
        <f>X107</f>
        <v>Koulutus</v>
      </c>
      <c r="AZ111" t="str">
        <f>Y108</f>
        <v>Opettajat</v>
      </c>
      <c r="BA111">
        <f>Z108</f>
        <v>78314.28571428571</v>
      </c>
      <c r="BB111">
        <f>AC108</f>
        <v>70</v>
      </c>
      <c r="BC111">
        <f>AA108</f>
        <v>3250</v>
      </c>
      <c r="BD111">
        <f>AB108</f>
        <v>3054257142.8571429</v>
      </c>
      <c r="BE111" t="str">
        <f>Y109</f>
        <v>Koulut, laitteet</v>
      </c>
      <c r="BF111">
        <f>AI107</f>
        <v>100</v>
      </c>
      <c r="BG111">
        <f>AJ107</f>
        <v>40</v>
      </c>
      <c r="BH111">
        <f>AB109</f>
        <v>313257142.85714281</v>
      </c>
    </row>
    <row r="112" spans="2:60" x14ac:dyDescent="0.3">
      <c r="X112" s="123"/>
      <c r="Y112" s="123" t="s">
        <v>777</v>
      </c>
      <c r="Z112" s="143">
        <f>Ihmismäärät!$C$14/AC112</f>
        <v>91366.666666666672</v>
      </c>
      <c r="AA112" s="126">
        <f>AA101</f>
        <v>3250</v>
      </c>
      <c r="AB112" s="127">
        <f>AA112*12*Z112</f>
        <v>3563300000</v>
      </c>
      <c r="AC112" s="125">
        <v>60</v>
      </c>
      <c r="AD112" s="141">
        <f t="shared" ref="AD112:AD113" si="40">AB112/$AB$124</f>
        <v>0.12124648772147482</v>
      </c>
      <c r="AE112" s="141">
        <v>0.12</v>
      </c>
      <c r="AF112" s="127">
        <f>AE112*$AB$124</f>
        <v>3526667106.2857141</v>
      </c>
      <c r="AG112" s="127">
        <f>AF112/Ihmismäärät!$C$14</f>
        <v>643.31760421118463</v>
      </c>
      <c r="AH112" s="154">
        <f t="shared" si="35"/>
        <v>53.609800350932055</v>
      </c>
      <c r="AI112" s="72"/>
      <c r="AJ112" s="99"/>
      <c r="AK112" s="97"/>
    </row>
    <row r="113" spans="2:60" x14ac:dyDescent="0.3">
      <c r="B113" t="s">
        <v>869</v>
      </c>
      <c r="X113" s="123"/>
      <c r="Y113" s="123" t="s">
        <v>784</v>
      </c>
      <c r="Z113" s="124"/>
      <c r="AA113" s="126"/>
      <c r="AB113" s="127">
        <f>Z112*AI111*AJ111</f>
        <v>365466666.66666675</v>
      </c>
      <c r="AC113" s="125"/>
      <c r="AD113" s="141">
        <f t="shared" si="40"/>
        <v>1.243553720220255E-2</v>
      </c>
      <c r="AE113" s="141">
        <v>0.01</v>
      </c>
      <c r="AF113" s="127">
        <f>AE113*$AB$124</f>
        <v>293888925.52380949</v>
      </c>
      <c r="AG113" s="127">
        <f>AF113/Ihmismäärät!$C$14</f>
        <v>53.609800350932048</v>
      </c>
      <c r="AH113" s="154">
        <f t="shared" si="35"/>
        <v>4.4674833625776706</v>
      </c>
      <c r="AI113" s="72"/>
      <c r="AJ113" s="99"/>
      <c r="AK113" s="97"/>
    </row>
    <row r="114" spans="2:60" x14ac:dyDescent="0.3">
      <c r="B114" t="s">
        <v>870</v>
      </c>
      <c r="W114">
        <v>8</v>
      </c>
      <c r="X114" s="9" t="s">
        <v>768</v>
      </c>
      <c r="Y114" s="9"/>
      <c r="Z114" s="9"/>
      <c r="AA114" s="9"/>
      <c r="AB114" s="136">
        <f>SUM(AB115:AB118)</f>
        <v>1682343800</v>
      </c>
      <c r="AC114" s="9"/>
      <c r="AD114" s="142">
        <f>AB114/$AB$124</f>
        <v>5.724420534055491E-2</v>
      </c>
      <c r="AE114" s="142"/>
      <c r="AF114" s="136"/>
      <c r="AG114" s="136">
        <f>AF114/Ihmismäärät!$C$14</f>
        <v>0</v>
      </c>
      <c r="AH114" s="151">
        <f t="shared" si="35"/>
        <v>0</v>
      </c>
      <c r="AI114" s="72">
        <v>200</v>
      </c>
      <c r="AJ114" s="99">
        <v>100</v>
      </c>
      <c r="AY114" t="str">
        <f>X124</f>
        <v>YHTEENSÄ</v>
      </c>
      <c r="AZ114">
        <f>Y124</f>
        <v>0</v>
      </c>
      <c r="BA114">
        <f>Z124</f>
        <v>0</v>
      </c>
      <c r="BB114">
        <f>AC124</f>
        <v>0</v>
      </c>
      <c r="BC114">
        <f>AA124</f>
        <v>0</v>
      </c>
      <c r="BD114">
        <f>AB124</f>
        <v>29388892552.380951</v>
      </c>
      <c r="BE114" t="e">
        <f>#REF!</f>
        <v>#REF!</v>
      </c>
      <c r="BF114">
        <f>AI124</f>
        <v>0</v>
      </c>
      <c r="BG114">
        <f>AJ124</f>
        <v>0</v>
      </c>
      <c r="BH114">
        <f>AK124</f>
        <v>0</v>
      </c>
    </row>
    <row r="115" spans="2:60" x14ac:dyDescent="0.3">
      <c r="B115" t="s">
        <v>871</v>
      </c>
      <c r="C115" s="298" t="s">
        <v>872</v>
      </c>
      <c r="D115" s="298"/>
      <c r="E115" s="299"/>
      <c r="F115" t="s">
        <v>873</v>
      </c>
      <c r="G115" t="s">
        <v>874</v>
      </c>
      <c r="I115" t="s">
        <v>875</v>
      </c>
      <c r="J115" t="s">
        <v>876</v>
      </c>
      <c r="X115" s="9"/>
      <c r="Y115" s="9" t="s">
        <v>749</v>
      </c>
      <c r="Z115" s="145">
        <f>Ihmismäärät!$C$14/AC115</f>
        <v>548.20000000000005</v>
      </c>
      <c r="AA115" s="95">
        <f>AA101</f>
        <v>3250</v>
      </c>
      <c r="AB115" s="136">
        <f>AA115*12*Z115</f>
        <v>21379800</v>
      </c>
      <c r="AC115" s="138">
        <v>10000</v>
      </c>
      <c r="AD115" s="142">
        <f t="shared" ref="AD115:AD118" si="41">AB115/$AB$124</f>
        <v>7.2747892632884896E-4</v>
      </c>
      <c r="AE115" s="142">
        <v>1E-3</v>
      </c>
      <c r="AF115" s="136">
        <f>AE115*$AB$124</f>
        <v>29388892.552380953</v>
      </c>
      <c r="AG115" s="136">
        <f>AF115/Ihmismäärät!$C$14</f>
        <v>5.3609800350932053</v>
      </c>
      <c r="AH115" s="151">
        <f t="shared" si="35"/>
        <v>0.44674833625776711</v>
      </c>
      <c r="AI115" s="72"/>
      <c r="AJ115" s="99"/>
      <c r="AK115" s="97"/>
    </row>
    <row r="116" spans="2:60" x14ac:dyDescent="0.3">
      <c r="C116" s="298"/>
      <c r="D116" s="298"/>
      <c r="E116" s="299"/>
      <c r="F116" t="s">
        <v>877</v>
      </c>
      <c r="G116" t="s">
        <v>878</v>
      </c>
      <c r="I116" t="s">
        <v>11</v>
      </c>
      <c r="J116" t="s">
        <v>878</v>
      </c>
      <c r="X116" s="9"/>
      <c r="Y116" s="9" t="s">
        <v>793</v>
      </c>
      <c r="Z116" s="137"/>
      <c r="AA116" s="95"/>
      <c r="AB116" s="136">
        <f>Z115*AI114*AJ114</f>
        <v>10964000.000000002</v>
      </c>
      <c r="AC116" s="138"/>
      <c r="AD116" s="142">
        <f t="shared" si="41"/>
        <v>3.7306611606607648E-4</v>
      </c>
      <c r="AE116" s="142">
        <v>5.0000000000000001E-4</v>
      </c>
      <c r="AF116" s="136">
        <f>AE116*$AB$124</f>
        <v>14694446.276190476</v>
      </c>
      <c r="AG116" s="136">
        <f>AF116/Ihmismäärät!$C$14</f>
        <v>2.6804900175466027</v>
      </c>
      <c r="AH116" s="151">
        <f t="shared" si="35"/>
        <v>0.22337416812888355</v>
      </c>
      <c r="AI116" s="72"/>
      <c r="AJ116" s="99"/>
      <c r="AK116" s="97"/>
    </row>
    <row r="117" spans="2:60" x14ac:dyDescent="0.3">
      <c r="B117" t="s">
        <v>879</v>
      </c>
      <c r="C117" s="294">
        <v>1000</v>
      </c>
      <c r="D117" s="294"/>
      <c r="E117" s="1" t="s">
        <v>12</v>
      </c>
      <c r="F117" t="s">
        <v>880</v>
      </c>
      <c r="G117" t="s">
        <v>879</v>
      </c>
      <c r="I117" t="s">
        <v>880</v>
      </c>
      <c r="J117" t="s">
        <v>879</v>
      </c>
      <c r="O117" s="100">
        <f>C4</f>
        <v>200</v>
      </c>
      <c r="P117" s="78">
        <f>F4</f>
        <v>4250</v>
      </c>
      <c r="Q117">
        <f>Palkkataulukko!C34</f>
        <v>5500</v>
      </c>
      <c r="S117" s="97">
        <f>O117*(Q117-P117)*12</f>
        <v>3000000</v>
      </c>
      <c r="X117" s="9"/>
      <c r="Y117" s="9" t="s">
        <v>819</v>
      </c>
      <c r="Z117" s="137"/>
      <c r="AA117" s="95"/>
      <c r="AB117" s="136">
        <v>1500000000</v>
      </c>
      <c r="AC117" s="138"/>
      <c r="AD117" s="142">
        <f t="shared" si="41"/>
        <v>5.1039691180145438E-2</v>
      </c>
      <c r="AE117" s="142">
        <v>0.05</v>
      </c>
      <c r="AF117" s="136">
        <f>AE117*$AB$124</f>
        <v>1469444627.6190476</v>
      </c>
      <c r="AG117" s="136">
        <f>AF117/Ihmismäärät!$C$14</f>
        <v>268.04900175466025</v>
      </c>
      <c r="AH117" s="151">
        <f t="shared" si="35"/>
        <v>22.337416812888353</v>
      </c>
      <c r="AI117" s="72"/>
      <c r="AJ117" s="99"/>
      <c r="AK117" s="97"/>
    </row>
    <row r="118" spans="2:60" x14ac:dyDescent="0.3">
      <c r="B118" t="s">
        <v>881</v>
      </c>
      <c r="C118" s="292">
        <v>442</v>
      </c>
      <c r="E118" s="1">
        <v>9.5</v>
      </c>
      <c r="F118">
        <v>806</v>
      </c>
      <c r="G118">
        <v>0.6</v>
      </c>
      <c r="I118">
        <v>24</v>
      </c>
      <c r="J118">
        <v>0.1</v>
      </c>
      <c r="L118">
        <f>C118*1000</f>
        <v>442000</v>
      </c>
      <c r="O118" s="100">
        <f>C6+C12</f>
        <v>109</v>
      </c>
      <c r="P118" s="78">
        <f>F6</f>
        <v>2500</v>
      </c>
      <c r="Q118">
        <f>Palkkataulukko!A25</f>
        <v>3250</v>
      </c>
      <c r="S118" s="97">
        <f t="shared" ref="S118:S122" si="42">O118*(Q118-P118)*12</f>
        <v>981000</v>
      </c>
      <c r="X118" s="9"/>
      <c r="Y118" s="9" t="s">
        <v>825</v>
      </c>
      <c r="Z118" s="137"/>
      <c r="AA118" s="95"/>
      <c r="AB118" s="136">
        <v>150000000</v>
      </c>
      <c r="AC118" s="138"/>
      <c r="AD118" s="142">
        <f t="shared" si="41"/>
        <v>5.1039691180145442E-3</v>
      </c>
      <c r="AE118" s="142">
        <v>5.0000000000000001E-3</v>
      </c>
      <c r="AF118" s="136">
        <f>AE118*$AB$124</f>
        <v>146944462.76190475</v>
      </c>
      <c r="AG118" s="136">
        <f>AF118/Ihmismäärät!$C$14</f>
        <v>26.804900175466024</v>
      </c>
      <c r="AH118" s="151">
        <f t="shared" si="35"/>
        <v>2.2337416812888353</v>
      </c>
      <c r="AI118" s="72"/>
      <c r="AJ118" s="99"/>
      <c r="AK118" s="97"/>
    </row>
    <row r="119" spans="2:60" x14ac:dyDescent="0.3">
      <c r="B119" t="s">
        <v>882</v>
      </c>
      <c r="C119" s="292">
        <v>457</v>
      </c>
      <c r="E119" s="1">
        <v>9.8000000000000007</v>
      </c>
      <c r="F119" s="77">
        <v>3737</v>
      </c>
      <c r="G119">
        <v>2.8</v>
      </c>
      <c r="I119">
        <v>270</v>
      </c>
      <c r="J119">
        <v>0.9</v>
      </c>
      <c r="L119">
        <f t="shared" ref="L119:L120" si="43">C119*1000</f>
        <v>457000</v>
      </c>
      <c r="O119" s="100">
        <f>C10</f>
        <v>1</v>
      </c>
      <c r="P119" s="78">
        <f>F10</f>
        <v>5000</v>
      </c>
      <c r="Q119">
        <f>Palkkataulukko!C36</f>
        <v>6000</v>
      </c>
      <c r="S119" s="97">
        <f t="shared" si="42"/>
        <v>12000</v>
      </c>
      <c r="W119">
        <v>9</v>
      </c>
      <c r="X119" s="131" t="s">
        <v>816</v>
      </c>
      <c r="Y119" s="131"/>
      <c r="Z119" s="132"/>
      <c r="AA119" s="134"/>
      <c r="AB119" s="135">
        <f>SUM(AB120:AB123)</f>
        <v>18576595000</v>
      </c>
      <c r="AC119" s="133"/>
      <c r="AD119" s="148">
        <f>AB119/$AB$124</f>
        <v>0.63209578131908928</v>
      </c>
      <c r="AE119" s="148"/>
      <c r="AF119" s="135"/>
      <c r="AG119" s="135">
        <f>AF119/Ihmismäärät!$C$14</f>
        <v>0</v>
      </c>
      <c r="AH119" s="155">
        <f t="shared" si="35"/>
        <v>0</v>
      </c>
      <c r="AI119" s="72"/>
      <c r="AJ119" s="99"/>
      <c r="AK119" s="97"/>
    </row>
    <row r="120" spans="2:60" x14ac:dyDescent="0.3">
      <c r="B120" t="s">
        <v>883</v>
      </c>
      <c r="C120" s="292">
        <v>579</v>
      </c>
      <c r="E120" s="1">
        <v>12.4</v>
      </c>
      <c r="F120" s="77">
        <v>7261</v>
      </c>
      <c r="G120">
        <v>5.4</v>
      </c>
      <c r="I120">
        <v>587</v>
      </c>
      <c r="J120">
        <v>1.9</v>
      </c>
      <c r="L120">
        <f t="shared" si="43"/>
        <v>579000</v>
      </c>
      <c r="O120" s="100">
        <f>C16+C20+C21+C22+C23+C24+C29+C33+C38+C43+C45+C54+C63</f>
        <v>144201.16967032966</v>
      </c>
      <c r="P120" s="78">
        <f>F16</f>
        <v>2750</v>
      </c>
      <c r="Q120">
        <f>Palkkataulukko!A26</f>
        <v>3500</v>
      </c>
      <c r="S120" s="97">
        <f t="shared" si="42"/>
        <v>1297810527.0329671</v>
      </c>
      <c r="X120" s="131"/>
      <c r="Y120" s="131" t="s">
        <v>817</v>
      </c>
      <c r="Z120" s="147">
        <f>Ihmismäärät!C14-Ihmismäärät!C17-Ihmismäärät!C20</f>
        <v>4531800</v>
      </c>
      <c r="AA120" s="134">
        <v>250</v>
      </c>
      <c r="AB120" s="135">
        <f>AA120*12*Z120</f>
        <v>13595400000</v>
      </c>
      <c r="AC120" s="133"/>
      <c r="AD120" s="148">
        <f>AB120/$AB$124</f>
        <v>0.4626033449803662</v>
      </c>
      <c r="AE120" s="148">
        <v>0.46</v>
      </c>
      <c r="AF120" s="135">
        <f>AE120*$AB$124</f>
        <v>13518890574.095238</v>
      </c>
      <c r="AG120" s="135">
        <f>AF120/Ihmismäärät!$C$14</f>
        <v>2466.0508161428743</v>
      </c>
      <c r="AH120" s="155">
        <f t="shared" si="35"/>
        <v>205.50423467857286</v>
      </c>
      <c r="AI120" s="72"/>
      <c r="AJ120" s="99"/>
      <c r="AK120" s="97"/>
    </row>
    <row r="121" spans="2:60" x14ac:dyDescent="0.3">
      <c r="B121" t="s">
        <v>884</v>
      </c>
      <c r="C121" s="292">
        <v>520</v>
      </c>
      <c r="E121" s="1">
        <v>11.2</v>
      </c>
      <c r="F121" s="77">
        <v>9055</v>
      </c>
      <c r="G121">
        <v>6.8</v>
      </c>
      <c r="I121" s="77">
        <v>1211</v>
      </c>
      <c r="J121">
        <v>4</v>
      </c>
      <c r="O121" s="100">
        <f>C56+C66</f>
        <v>91914.866666666669</v>
      </c>
      <c r="P121" s="78">
        <f>F56</f>
        <v>2300</v>
      </c>
      <c r="Q121">
        <f>Palkkataulukko!C23</f>
        <v>2750</v>
      </c>
      <c r="S121" s="97">
        <f t="shared" si="42"/>
        <v>496340280</v>
      </c>
      <c r="X121" s="131"/>
      <c r="Y121" s="131" t="s">
        <v>820</v>
      </c>
      <c r="Z121" s="147">
        <v>300000</v>
      </c>
      <c r="AA121" s="134">
        <v>450</v>
      </c>
      <c r="AB121" s="135">
        <f>AA121*12*Z121</f>
        <v>1620000000</v>
      </c>
      <c r="AC121" s="133"/>
      <c r="AD121" s="148">
        <f>AB121/$AB$124</f>
        <v>5.5122866474557074E-2</v>
      </c>
      <c r="AE121" s="148">
        <v>0.06</v>
      </c>
      <c r="AF121" s="135">
        <f>AE121*$AB$124</f>
        <v>1763333553.1428571</v>
      </c>
      <c r="AG121" s="135">
        <f>AF121/Ihmismäärät!$C$14</f>
        <v>321.65880210559232</v>
      </c>
      <c r="AH121" s="155">
        <f t="shared" si="35"/>
        <v>26.804900175466027</v>
      </c>
      <c r="AI121" s="72"/>
      <c r="AJ121" s="99"/>
      <c r="AK121" s="97"/>
    </row>
    <row r="122" spans="2:60" x14ac:dyDescent="0.3">
      <c r="B122" t="s">
        <v>885</v>
      </c>
      <c r="C122" s="292">
        <v>468</v>
      </c>
      <c r="E122" s="1">
        <v>10.1</v>
      </c>
      <c r="F122" s="77">
        <v>10517</v>
      </c>
      <c r="G122">
        <v>7.9</v>
      </c>
      <c r="I122" s="77">
        <v>1762</v>
      </c>
      <c r="J122">
        <v>5.8</v>
      </c>
      <c r="O122" s="100">
        <f>C58+C47</f>
        <v>3032.1684981684984</v>
      </c>
      <c r="P122" s="78">
        <f>F47</f>
        <v>2000</v>
      </c>
      <c r="Q122">
        <f>Palkkataulukko!A22</f>
        <v>2500</v>
      </c>
      <c r="S122" s="97">
        <f t="shared" si="42"/>
        <v>18193010.98901099</v>
      </c>
      <c r="X122" s="131"/>
      <c r="Y122" s="131" t="s">
        <v>818</v>
      </c>
      <c r="Z122" s="132"/>
      <c r="AA122" s="134"/>
      <c r="AB122" s="135">
        <f>AB131</f>
        <v>1813095000</v>
      </c>
      <c r="AC122" s="133"/>
      <c r="AD122" s="148">
        <f>AB122/$AB$124</f>
        <v>6.1693205920177199E-2</v>
      </c>
      <c r="AE122" s="148"/>
      <c r="AF122" s="135"/>
      <c r="AG122" s="135">
        <f>AF122/Ihmismäärät!$C$14</f>
        <v>0</v>
      </c>
      <c r="AH122" s="155">
        <f t="shared" si="35"/>
        <v>0</v>
      </c>
      <c r="AI122" s="72"/>
      <c r="AJ122" s="99"/>
      <c r="AK122" s="97"/>
    </row>
    <row r="123" spans="2:60" x14ac:dyDescent="0.3">
      <c r="B123" t="s">
        <v>886</v>
      </c>
      <c r="C123" s="292">
        <v>463</v>
      </c>
      <c r="E123" s="1">
        <v>10</v>
      </c>
      <c r="F123" s="77">
        <v>12737</v>
      </c>
      <c r="G123">
        <v>9.5</v>
      </c>
      <c r="I123" s="77">
        <v>2306</v>
      </c>
      <c r="J123">
        <v>7.6</v>
      </c>
      <c r="S123" s="97">
        <f>SUM(S117:S122)</f>
        <v>1816336818.0219781</v>
      </c>
      <c r="X123" s="131"/>
      <c r="Y123" s="131" t="s">
        <v>741</v>
      </c>
      <c r="Z123" s="132"/>
      <c r="AA123" s="134"/>
      <c r="AB123" s="135">
        <f>AB130</f>
        <v>1548100000</v>
      </c>
      <c r="AC123" s="133"/>
      <c r="AD123" s="148">
        <f>AB123/$AB$124</f>
        <v>5.2676363943988766E-2</v>
      </c>
      <c r="AE123" s="148"/>
      <c r="AF123" s="135"/>
      <c r="AG123" s="135">
        <f>AF123/Ihmismäärät!$C$14</f>
        <v>0</v>
      </c>
      <c r="AH123" s="155">
        <f t="shared" si="35"/>
        <v>0</v>
      </c>
      <c r="AI123" s="72"/>
      <c r="AJ123" s="99"/>
      <c r="AK123" s="97"/>
    </row>
    <row r="124" spans="2:60" x14ac:dyDescent="0.3">
      <c r="B124" t="s">
        <v>887</v>
      </c>
      <c r="C124" s="292">
        <v>425</v>
      </c>
      <c r="E124" s="1">
        <v>9.1</v>
      </c>
      <c r="F124" s="77">
        <v>13773</v>
      </c>
      <c r="G124">
        <v>10.3</v>
      </c>
      <c r="I124" s="77">
        <v>2733</v>
      </c>
      <c r="J124">
        <v>9</v>
      </c>
      <c r="X124" s="114" t="s">
        <v>758</v>
      </c>
      <c r="Y124" s="114"/>
      <c r="Z124" s="149"/>
      <c r="AA124" s="114"/>
      <c r="AB124" s="116">
        <f>AB91+AB94+AB97+AB100+AB103+AB111+AB107+AB114+AB119</f>
        <v>29388892552.380951</v>
      </c>
      <c r="AC124" s="150"/>
      <c r="AD124" s="150"/>
      <c r="AE124" s="150">
        <f>SUM(AE91:AE123)</f>
        <v>0.88349999999999995</v>
      </c>
      <c r="AF124" s="116">
        <f>SUM(AF91:AF123)</f>
        <v>25965086570.028568</v>
      </c>
      <c r="AG124" s="119"/>
      <c r="AH124" s="119"/>
      <c r="AK124" s="97">
        <f>SUM(AK92:AK114)</f>
        <v>0</v>
      </c>
    </row>
    <row r="125" spans="2:60" x14ac:dyDescent="0.3">
      <c r="B125" t="s">
        <v>888</v>
      </c>
      <c r="C125" s="292">
        <v>331</v>
      </c>
      <c r="E125" s="1">
        <v>7.1</v>
      </c>
      <c r="F125" s="77">
        <v>12357</v>
      </c>
      <c r="G125">
        <v>9.1999999999999993</v>
      </c>
      <c r="I125" s="77">
        <v>2693</v>
      </c>
      <c r="J125">
        <v>8.9</v>
      </c>
      <c r="X125" s="105"/>
      <c r="Y125" s="105"/>
      <c r="Z125" s="105"/>
      <c r="AA125" s="105"/>
      <c r="AB125" s="113">
        <f>V_Kuitti!AI5-AB124</f>
        <v>810305114.28571701</v>
      </c>
      <c r="AC125" s="105"/>
      <c r="AD125" s="105"/>
      <c r="AE125" s="105"/>
      <c r="AF125" s="113">
        <f>AF124+AB122+AB123</f>
        <v>29326281570.028568</v>
      </c>
      <c r="AG125" s="113"/>
      <c r="AH125" s="113"/>
    </row>
    <row r="126" spans="2:60" x14ac:dyDescent="0.3">
      <c r="B126" t="s">
        <v>889</v>
      </c>
      <c r="C126" s="292">
        <v>414</v>
      </c>
      <c r="E126" s="1">
        <v>8.9</v>
      </c>
      <c r="F126" s="77">
        <v>18423</v>
      </c>
      <c r="G126">
        <v>13.8</v>
      </c>
      <c r="I126" s="77">
        <v>4467</v>
      </c>
      <c r="J126">
        <v>14.7</v>
      </c>
      <c r="X126" t="s">
        <v>816</v>
      </c>
    </row>
    <row r="127" spans="2:60" x14ac:dyDescent="0.3">
      <c r="B127" t="s">
        <v>890</v>
      </c>
      <c r="C127" s="292">
        <v>218</v>
      </c>
      <c r="E127" s="1">
        <v>4.7</v>
      </c>
      <c r="F127" s="77">
        <v>11898</v>
      </c>
      <c r="G127">
        <v>8.9</v>
      </c>
      <c r="I127" s="77">
        <v>3224</v>
      </c>
      <c r="J127">
        <v>10.6</v>
      </c>
      <c r="W127">
        <v>9</v>
      </c>
      <c r="X127" t="s">
        <v>795</v>
      </c>
      <c r="AB127" s="97">
        <v>3000000000</v>
      </c>
    </row>
    <row r="128" spans="2:60" x14ac:dyDescent="0.3">
      <c r="B128" t="s">
        <v>891</v>
      </c>
      <c r="C128" s="292">
        <v>190</v>
      </c>
      <c r="E128" s="1">
        <v>4.0999999999999996</v>
      </c>
      <c r="F128" s="77">
        <v>12936</v>
      </c>
      <c r="G128">
        <v>9.6999999999999993</v>
      </c>
      <c r="I128" s="77">
        <v>3851</v>
      </c>
      <c r="J128">
        <v>12.7</v>
      </c>
      <c r="W128">
        <v>10</v>
      </c>
      <c r="X128" t="s">
        <v>796</v>
      </c>
      <c r="AB128" s="97">
        <v>2000000000</v>
      </c>
    </row>
    <row r="129" spans="2:28" x14ac:dyDescent="0.3">
      <c r="B129" t="s">
        <v>892</v>
      </c>
      <c r="C129" s="292">
        <v>69</v>
      </c>
      <c r="E129" s="1">
        <v>1.5</v>
      </c>
      <c r="F129" s="77">
        <v>6128</v>
      </c>
      <c r="G129">
        <v>4.5999999999999996</v>
      </c>
      <c r="I129" s="77">
        <v>2005</v>
      </c>
      <c r="J129">
        <v>6.6</v>
      </c>
      <c r="W129">
        <v>11</v>
      </c>
      <c r="X129" t="s">
        <v>791</v>
      </c>
      <c r="AB129" s="97">
        <f>SUM(AB130:AB131)-AB132</f>
        <v>-3065836000</v>
      </c>
    </row>
    <row r="130" spans="2:28" x14ac:dyDescent="0.3">
      <c r="B130" t="s">
        <v>893</v>
      </c>
      <c r="C130" s="292">
        <v>78</v>
      </c>
      <c r="E130" s="1">
        <v>1.7</v>
      </c>
      <c r="F130" s="77">
        <v>14197</v>
      </c>
      <c r="G130">
        <v>10.6</v>
      </c>
      <c r="I130" s="77">
        <v>5243</v>
      </c>
      <c r="J130">
        <v>17.3</v>
      </c>
      <c r="X130" t="s">
        <v>741</v>
      </c>
      <c r="AB130" s="97">
        <f>V_tulot!G800</f>
        <v>1548100000</v>
      </c>
    </row>
    <row r="131" spans="2:28" x14ac:dyDescent="0.3">
      <c r="B131" t="s">
        <v>751</v>
      </c>
      <c r="C131" s="294">
        <v>4655</v>
      </c>
      <c r="D131" s="294"/>
      <c r="E131" s="1">
        <v>100</v>
      </c>
      <c r="F131" s="77">
        <v>133826</v>
      </c>
      <c r="G131">
        <v>100</v>
      </c>
      <c r="I131" s="77">
        <v>30378</v>
      </c>
      <c r="J131">
        <v>100</v>
      </c>
      <c r="X131" t="s">
        <v>787</v>
      </c>
      <c r="AB131" s="97">
        <f>V_tulot!F394+V_tulot!F390+V_tulot!F391+V_tulot!F392+V_tulot!F393+V_tulot!F395+V_tulot!F396+V_tulot!F521+V_tulot!F528+V_tulot!F532+V_tulot!F658+V_tulot!F788-V_tulot!G61-V_tulot!G78-V_tulot!G79-V_tulot!G86-V_tulot!G87-V_tulot!G88-V_tulot!G89</f>
        <v>1813095000</v>
      </c>
    </row>
    <row r="132" spans="2:28" x14ac:dyDescent="0.3">
      <c r="L132">
        <v>1500000</v>
      </c>
      <c r="X132" t="s">
        <v>792</v>
      </c>
      <c r="AB132" s="97">
        <f>V_tulot!G133</f>
        <v>6427031000</v>
      </c>
    </row>
    <row r="133" spans="2:28" x14ac:dyDescent="0.3">
      <c r="L133">
        <f>SUM(L118:L132)</f>
        <v>2978000</v>
      </c>
      <c r="S133" s="11">
        <f>G83/G86</f>
        <v>1.4743809523809524E-2</v>
      </c>
    </row>
    <row r="134" spans="2:28" x14ac:dyDescent="0.3">
      <c r="R134">
        <v>1</v>
      </c>
      <c r="S134" s="237">
        <f>(G86+G86*$S$133)-$G$83-$G$82</f>
        <v>103500000000</v>
      </c>
      <c r="AB134" s="97">
        <f>AB124+AK124+AB129+AB127+AB128</f>
        <v>31323056552.380951</v>
      </c>
    </row>
    <row r="135" spans="2:28" x14ac:dyDescent="0.3">
      <c r="O135" s="270"/>
      <c r="R135">
        <v>2</v>
      </c>
      <c r="S135" s="237">
        <f>(S134+S134*$S$133)-$G$83-$G$82</f>
        <v>101977884285.71428</v>
      </c>
      <c r="AB135" s="97" t="e">
        <f>AB87-AB134</f>
        <v>#REF!</v>
      </c>
    </row>
    <row r="136" spans="2:28" x14ac:dyDescent="0.3">
      <c r="O136" s="270"/>
      <c r="R136">
        <v>3</v>
      </c>
      <c r="S136" s="237">
        <f>(S135+S135*$S$133)-$G$83-$G$82</f>
        <v>100433326787.26395</v>
      </c>
      <c r="AB136" s="100">
        <f>Ihmismäärät!C14-Ihmismäärät!C26</f>
        <v>3034000</v>
      </c>
    </row>
    <row r="137" spans="2:28" x14ac:dyDescent="0.3">
      <c r="O137" s="270"/>
      <c r="R137">
        <v>4</v>
      </c>
      <c r="S137" s="237">
        <f>(S136+S136*$S$133)-$G$83-$G$82</f>
        <v>98865996627.257889</v>
      </c>
      <c r="AB137" s="97" t="e">
        <f>AB135/AB136</f>
        <v>#REF!</v>
      </c>
    </row>
    <row r="138" spans="2:28" x14ac:dyDescent="0.3">
      <c r="O138" s="270"/>
      <c r="R138">
        <v>5</v>
      </c>
      <c r="S138" s="237">
        <f>(S137+S137*$S$133)-$G$83-$G$82</f>
        <v>97275558049.911774</v>
      </c>
      <c r="AB138" s="78" t="e">
        <f>AB137/12</f>
        <v>#REF!</v>
      </c>
    </row>
    <row r="139" spans="2:28" x14ac:dyDescent="0.3">
      <c r="O139" s="270"/>
      <c r="R139">
        <v>6</v>
      </c>
      <c r="S139" s="237">
        <f t="shared" ref="S139:S149" si="44">(S138+S138*$S$133)-$G$83-$G$82</f>
        <v>95661670349.121948</v>
      </c>
    </row>
    <row r="140" spans="2:28" x14ac:dyDescent="0.3">
      <c r="O140" s="270"/>
      <c r="R140">
        <v>7</v>
      </c>
      <c r="S140" s="237">
        <f t="shared" si="44"/>
        <v>94023987795.478867</v>
      </c>
    </row>
    <row r="141" spans="2:28" x14ac:dyDescent="0.3">
      <c r="O141" s="270"/>
      <c r="R141">
        <v>8</v>
      </c>
      <c r="S141" s="237">
        <f t="shared" si="44"/>
        <v>92362159562.204391</v>
      </c>
    </row>
    <row r="142" spans="2:28" x14ac:dyDescent="0.3">
      <c r="O142" s="270"/>
      <c r="R142">
        <v>9</v>
      </c>
      <c r="S142" s="237">
        <f t="shared" si="44"/>
        <v>90675829649.997238</v>
      </c>
      <c r="AA142">
        <v>1500</v>
      </c>
    </row>
    <row r="143" spans="2:28" x14ac:dyDescent="0.3">
      <c r="O143" s="270"/>
      <c r="R143">
        <v>10</v>
      </c>
      <c r="S143" s="237">
        <f t="shared" si="44"/>
        <v>88964636810.770203</v>
      </c>
    </row>
    <row r="144" spans="2:28" x14ac:dyDescent="0.3">
      <c r="O144" s="270"/>
      <c r="R144">
        <v>11</v>
      </c>
      <c r="S144" s="237">
        <f t="shared" si="44"/>
        <v>87228214470.263092</v>
      </c>
    </row>
    <row r="145" spans="15:27" x14ac:dyDescent="0.3">
      <c r="O145" s="270"/>
      <c r="R145">
        <v>12</v>
      </c>
      <c r="S145" s="237">
        <f t="shared" si="44"/>
        <v>85466190649.514664</v>
      </c>
      <c r="Y145" s="7"/>
    </row>
    <row r="146" spans="15:27" x14ac:dyDescent="0.3">
      <c r="O146" s="270"/>
      <c r="R146">
        <v>13</v>
      </c>
      <c r="S146" s="237">
        <f t="shared" si="44"/>
        <v>83678187885.176697</v>
      </c>
    </row>
    <row r="147" spans="15:27" x14ac:dyDescent="0.3">
      <c r="O147" s="270"/>
      <c r="R147">
        <v>14</v>
      </c>
      <c r="S147" s="237">
        <f t="shared" si="44"/>
        <v>81863823148.65329</v>
      </c>
    </row>
    <row r="148" spans="15:27" x14ac:dyDescent="0.3">
      <c r="O148" s="270"/>
      <c r="R148">
        <v>15</v>
      </c>
      <c r="S148" s="237">
        <f t="shared" si="44"/>
        <v>80022707764.047867</v>
      </c>
      <c r="AA148" s="7"/>
    </row>
    <row r="149" spans="15:27" x14ac:dyDescent="0.3">
      <c r="O149" s="270"/>
      <c r="R149">
        <v>16</v>
      </c>
      <c r="S149" s="237">
        <f t="shared" si="44"/>
        <v>78154447324.900467</v>
      </c>
    </row>
    <row r="150" spans="15:27" x14ac:dyDescent="0.3">
      <c r="O150" s="270"/>
      <c r="R150">
        <v>17</v>
      </c>
      <c r="S150" s="237">
        <f>(S149+S149*$S$133)-$G$83-$G$82</f>
        <v>76258641609.697403</v>
      </c>
    </row>
    <row r="151" spans="15:27" x14ac:dyDescent="0.3">
      <c r="O151" s="270"/>
      <c r="R151">
        <v>18</v>
      </c>
      <c r="S151" s="237">
        <f>(S150+S150*$S$133)-$G$83-$G$82</f>
        <v>74334884496.135239</v>
      </c>
    </row>
    <row r="152" spans="15:27" x14ac:dyDescent="0.3">
      <c r="O152" s="270"/>
      <c r="R152">
        <v>19</v>
      </c>
      <c r="S152" s="237">
        <f t="shared" ref="S152:S157" si="45">(S151+S151*$S$133)-$G$83-$G$82</f>
        <v>72382763874.120636</v>
      </c>
      <c r="AA152" s="7"/>
    </row>
    <row r="153" spans="15:27" x14ac:dyDescent="0.3">
      <c r="O153" s="270"/>
      <c r="R153">
        <v>20</v>
      </c>
      <c r="S153" s="237">
        <f t="shared" si="45"/>
        <v>70401861557.487549</v>
      </c>
    </row>
    <row r="154" spans="15:27" x14ac:dyDescent="0.3">
      <c r="O154" s="270"/>
      <c r="R154">
        <v>21</v>
      </c>
      <c r="S154" s="237">
        <f t="shared" si="45"/>
        <v>68391753194.41275</v>
      </c>
      <c r="W154">
        <v>6000</v>
      </c>
    </row>
    <row r="155" spans="15:27" x14ac:dyDescent="0.3">
      <c r="O155" s="270"/>
      <c r="R155">
        <v>22</v>
      </c>
      <c r="S155" s="237">
        <f t="shared" si="45"/>
        <v>66352008176.510559</v>
      </c>
      <c r="W155">
        <v>0.38700000000000001</v>
      </c>
    </row>
    <row r="156" spans="15:27" x14ac:dyDescent="0.3">
      <c r="O156" s="270"/>
      <c r="R156">
        <v>23</v>
      </c>
      <c r="S156" s="237">
        <f t="shared" si="45"/>
        <v>64282189546.58728</v>
      </c>
      <c r="W156">
        <f>W154*W155</f>
        <v>2322</v>
      </c>
      <c r="AA156" s="7"/>
    </row>
    <row r="157" spans="15:27" x14ac:dyDescent="0.3">
      <c r="O157" s="270"/>
      <c r="R157">
        <v>24</v>
      </c>
      <c r="S157" s="237">
        <f t="shared" si="45"/>
        <v>62181853905.035583</v>
      </c>
      <c r="W157">
        <f>W154-W156</f>
        <v>3678</v>
      </c>
    </row>
    <row r="158" spans="15:27" x14ac:dyDescent="0.3">
      <c r="O158" s="270"/>
      <c r="R158">
        <v>25</v>
      </c>
      <c r="S158" s="237">
        <f>(S157+S157*$S$133)-$G$83-$G$82</f>
        <v>60050551314.848778</v>
      </c>
    </row>
    <row r="159" spans="15:27" x14ac:dyDescent="0.3">
      <c r="O159" s="270"/>
      <c r="R159">
        <v>26</v>
      </c>
      <c r="S159" s="237">
        <f>(S158+S158*$S$133)-$G$83-$G$82</f>
        <v>57887825205.234657</v>
      </c>
    </row>
    <row r="160" spans="15:27" x14ac:dyDescent="0.3">
      <c r="O160" s="270"/>
      <c r="R160">
        <v>27</v>
      </c>
      <c r="S160" s="237">
        <f t="shared" ref="S160:S170" si="46">(S159+S159*$S$133)-$G$83-$G$82</f>
        <v>55693212273.80822</v>
      </c>
      <c r="AA160" s="7"/>
    </row>
    <row r="161" spans="15:19" x14ac:dyDescent="0.3">
      <c r="O161" s="270"/>
      <c r="R161">
        <v>28</v>
      </c>
      <c r="S161" s="237">
        <f t="shared" si="46"/>
        <v>53466242387.342339</v>
      </c>
    </row>
    <row r="162" spans="15:19" x14ac:dyDescent="0.3">
      <c r="O162" s="270"/>
      <c r="R162">
        <v>29</v>
      </c>
      <c r="S162" s="237">
        <f t="shared" si="46"/>
        <v>51206438481.055145</v>
      </c>
    </row>
    <row r="163" spans="15:19" x14ac:dyDescent="0.3">
      <c r="O163" s="270"/>
      <c r="R163">
        <v>30</v>
      </c>
      <c r="S163" s="237">
        <f t="shared" si="46"/>
        <v>48913316456.412491</v>
      </c>
    </row>
    <row r="164" spans="15:19" x14ac:dyDescent="0.3">
      <c r="O164" s="270"/>
      <c r="R164">
        <v>31</v>
      </c>
      <c r="S164" s="237">
        <f t="shared" si="46"/>
        <v>46586385077.423653</v>
      </c>
    </row>
    <row r="165" spans="15:19" x14ac:dyDescent="0.3">
      <c r="O165" s="270"/>
      <c r="R165">
        <v>32</v>
      </c>
      <c r="S165" s="237">
        <f t="shared" si="46"/>
        <v>44225145865.408028</v>
      </c>
    </row>
    <row r="166" spans="15:19" x14ac:dyDescent="0.3">
      <c r="O166" s="270"/>
      <c r="R166">
        <v>33</v>
      </c>
      <c r="S166" s="237">
        <f t="shared" si="46"/>
        <v>41829092992.210297</v>
      </c>
    </row>
    <row r="167" spans="15:19" x14ac:dyDescent="0.3">
      <c r="O167" s="270"/>
      <c r="R167">
        <v>34</v>
      </c>
      <c r="S167" s="237">
        <f t="shared" si="46"/>
        <v>39397713171.841164</v>
      </c>
    </row>
    <row r="168" spans="15:19" x14ac:dyDescent="0.3">
      <c r="O168" s="270"/>
      <c r="R168">
        <v>35</v>
      </c>
      <c r="S168" s="237">
        <f t="shared" si="46"/>
        <v>36930485550.52047</v>
      </c>
    </row>
    <row r="169" spans="15:19" x14ac:dyDescent="0.3">
      <c r="O169" s="270"/>
      <c r="R169">
        <v>36</v>
      </c>
      <c r="S169" s="237">
        <f t="shared" si="46"/>
        <v>34426881595.099144</v>
      </c>
    </row>
    <row r="170" spans="15:19" x14ac:dyDescent="0.3">
      <c r="O170" s="270"/>
      <c r="R170">
        <v>37</v>
      </c>
      <c r="S170" s="237">
        <f t="shared" si="46"/>
        <v>31886364979.836029</v>
      </c>
    </row>
    <row r="171" spans="15:19" x14ac:dyDescent="0.3">
      <c r="O171" s="270"/>
      <c r="R171">
        <v>38</v>
      </c>
      <c r="S171" s="237">
        <f>(S170+S170*$S$133)-$G$83-$G$82</f>
        <v>29308391471.505402</v>
      </c>
    </row>
    <row r="172" spans="15:19" x14ac:dyDescent="0.3">
      <c r="O172" s="270"/>
      <c r="R172">
        <v>39</v>
      </c>
      <c r="S172" s="237">
        <f>(S171+S171*$S$133)-$G$83-$G$82</f>
        <v>26692408812.81052</v>
      </c>
    </row>
    <row r="173" spans="15:19" x14ac:dyDescent="0.3">
      <c r="O173" s="270"/>
      <c r="R173">
        <v>40</v>
      </c>
      <c r="S173" s="237">
        <f t="shared" ref="S173:S182" si="47">(S172+S172*$S$133)-$G$83-$G$82</f>
        <v>24037856604.078255</v>
      </c>
    </row>
    <row r="174" spans="15:19" x14ac:dyDescent="0.3">
      <c r="O174" s="270"/>
      <c r="R174">
        <v>41</v>
      </c>
      <c r="S174" s="237">
        <f t="shared" si="47"/>
        <v>21344166183.209431</v>
      </c>
    </row>
    <row r="175" spans="15:19" x14ac:dyDescent="0.3">
      <c r="O175" s="270"/>
      <c r="R175">
        <v>42</v>
      </c>
      <c r="S175" s="237">
        <f t="shared" si="47"/>
        <v>18610760503.859207</v>
      </c>
    </row>
    <row r="176" spans="15:19" x14ac:dyDescent="0.3">
      <c r="O176" s="270"/>
      <c r="R176">
        <v>43</v>
      </c>
      <c r="S176" s="237">
        <f t="shared" si="47"/>
        <v>15837054011.821346</v>
      </c>
    </row>
    <row r="177" spans="15:19" x14ac:dyDescent="0.3">
      <c r="O177" s="270"/>
      <c r="R177">
        <v>44</v>
      </c>
      <c r="S177" s="237">
        <f t="shared" si="47"/>
        <v>13022452519.589924</v>
      </c>
    </row>
    <row r="178" spans="15:19" x14ac:dyDescent="0.3">
      <c r="O178" s="270"/>
      <c r="R178">
        <v>45</v>
      </c>
      <c r="S178" s="237">
        <f t="shared" si="47"/>
        <v>10166353079.071611</v>
      </c>
    </row>
    <row r="179" spans="15:19" x14ac:dyDescent="0.3">
      <c r="O179" s="270"/>
      <c r="R179">
        <v>46</v>
      </c>
      <c r="S179" s="237">
        <f t="shared" si="47"/>
        <v>7268143852.4212379</v>
      </c>
    </row>
    <row r="180" spans="15:19" x14ac:dyDescent="0.3">
      <c r="O180" s="270"/>
      <c r="R180">
        <v>47</v>
      </c>
      <c r="S180" s="237">
        <f t="shared" si="47"/>
        <v>4327203980.9729843</v>
      </c>
    </row>
    <row r="181" spans="15:19" x14ac:dyDescent="0.3">
      <c r="O181" s="270"/>
      <c r="R181">
        <v>48</v>
      </c>
      <c r="S181" s="237">
        <f t="shared" si="47"/>
        <v>1342903452.2391205</v>
      </c>
    </row>
    <row r="182" spans="15:19" x14ac:dyDescent="0.3">
      <c r="O182" s="270"/>
      <c r="R182">
        <v>49</v>
      </c>
      <c r="S182" s="237">
        <f t="shared" si="47"/>
        <v>-1685397035.0521996</v>
      </c>
    </row>
    <row r="183" spans="15:19" x14ac:dyDescent="0.3">
      <c r="O183" s="270"/>
      <c r="R183">
        <v>50</v>
      </c>
      <c r="S183" s="237">
        <f>(S182+S182*$S$133)-$G$83-$G$82</f>
        <v>-4758346207.9090023</v>
      </c>
    </row>
    <row r="184" spans="15:19" x14ac:dyDescent="0.3">
      <c r="O184" s="270"/>
      <c r="R184">
        <v>51</v>
      </c>
      <c r="S184" s="237">
        <f>(S183+S183*$S$133)-$G$83-$G$82</f>
        <v>-7876602358.0467539</v>
      </c>
    </row>
    <row r="185" spans="15:19" x14ac:dyDescent="0.3">
      <c r="O185" s="270"/>
      <c r="R185">
        <v>52</v>
      </c>
      <c r="S185" s="237">
        <f t="shared" ref="S185:S186" si="48">(S184+S184*$S$133)-$G$83-$G$82</f>
        <v>-11040833482.908585</v>
      </c>
    </row>
    <row r="186" spans="15:19" x14ac:dyDescent="0.3">
      <c r="O186" s="270"/>
      <c r="R186">
        <v>53</v>
      </c>
      <c r="S186" s="237">
        <f t="shared" si="48"/>
        <v>-14251717428.764687</v>
      </c>
    </row>
    <row r="187" spans="15:19" x14ac:dyDescent="0.3">
      <c r="S187" s="237"/>
    </row>
    <row r="188" spans="15:19" x14ac:dyDescent="0.3">
      <c r="S188" s="237">
        <f>S181*S133</f>
        <v>19799512.708679833</v>
      </c>
    </row>
  </sheetData>
  <hyperlinks>
    <hyperlink ref="B96" r:id="rId1" xr:uid="{00000000-0004-0000-0100-000000000000}"/>
    <hyperlink ref="O68" r:id="rId2" xr:uid="{00000000-0004-0000-0100-000001000000}"/>
  </hyperlinks>
  <pageMargins left="0.25" right="0.25" top="0.75" bottom="0.75" header="0.3" footer="0.3"/>
  <pageSetup paperSize="8" scale="72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H59"/>
  <sheetViews>
    <sheetView topLeftCell="A7" workbookViewId="0">
      <selection activeCell="C36" sqref="C36"/>
    </sheetView>
  </sheetViews>
  <sheetFormatPr defaultRowHeight="14.4" x14ac:dyDescent="0.3"/>
  <cols>
    <col min="1" max="1" width="12.6640625" customWidth="1"/>
    <col min="2" max="2" width="9" bestFit="1" customWidth="1"/>
    <col min="3" max="3" width="11.44140625" customWidth="1"/>
    <col min="4" max="4" width="11.33203125" customWidth="1"/>
    <col min="5" max="5" width="1.6640625" customWidth="1"/>
    <col min="6" max="6" width="8.5546875" customWidth="1"/>
    <col min="7" max="8" width="11.88671875" bestFit="1" customWidth="1"/>
    <col min="9" max="9" width="16.44140625" customWidth="1"/>
    <col min="10" max="10" width="8.33203125" hidden="1" customWidth="1"/>
    <col min="11" max="11" width="12" bestFit="1" customWidth="1"/>
    <col min="12" max="13" width="12" customWidth="1"/>
    <col min="15" max="15" width="17.33203125" bestFit="1" customWidth="1"/>
    <col min="16" max="16" width="11.6640625" bestFit="1" customWidth="1"/>
    <col min="17" max="17" width="9.33203125" bestFit="1" customWidth="1"/>
    <col min="20" max="20" width="6.88671875" bestFit="1" customWidth="1"/>
    <col min="21" max="21" width="19" bestFit="1" customWidth="1"/>
    <col min="22" max="22" width="2.6640625" customWidth="1"/>
    <col min="23" max="23" width="9.33203125" bestFit="1" customWidth="1"/>
    <col min="24" max="24" width="8.33203125" bestFit="1" customWidth="1"/>
    <col min="32" max="32" width="11.44140625" bestFit="1" customWidth="1"/>
    <col min="34" max="34" width="14.33203125" bestFit="1" customWidth="1"/>
  </cols>
  <sheetData>
    <row r="3" spans="1:34" x14ac:dyDescent="0.3">
      <c r="Y3">
        <v>1.24</v>
      </c>
    </row>
    <row r="4" spans="1:34" x14ac:dyDescent="0.3">
      <c r="H4">
        <f>(A20+F7)*F8</f>
        <v>0</v>
      </c>
      <c r="I4" s="78">
        <f>A14+F7</f>
        <v>500</v>
      </c>
      <c r="J4" s="78"/>
      <c r="K4">
        <f>I4*F8</f>
        <v>0</v>
      </c>
      <c r="N4" s="78">
        <f>I4-K4</f>
        <v>500</v>
      </c>
      <c r="O4" s="78"/>
      <c r="P4" s="78"/>
      <c r="Y4">
        <v>1.2</v>
      </c>
    </row>
    <row r="5" spans="1:34" x14ac:dyDescent="0.3">
      <c r="A5" t="s">
        <v>822</v>
      </c>
      <c r="F5" s="7">
        <f>AA8/AA6</f>
        <v>3.2258064516129108E-2</v>
      </c>
      <c r="H5" s="78">
        <f>A20+F7</f>
        <v>2000</v>
      </c>
    </row>
    <row r="6" spans="1:34" x14ac:dyDescent="0.3">
      <c r="A6" t="str">
        <f>A39</f>
        <v>Kiinteistövero pois</v>
      </c>
      <c r="C6" t="str">
        <f>A40</f>
        <v>Arvioitu veroprosentti</v>
      </c>
      <c r="F6" s="262">
        <f>D40</f>
        <v>4.0000000000000001E-3</v>
      </c>
      <c r="H6" s="78">
        <f>H5-H4</f>
        <v>2000</v>
      </c>
      <c r="Y6">
        <v>100</v>
      </c>
      <c r="Z6">
        <f>Y6/Y3</f>
        <v>80.645161290322577</v>
      </c>
      <c r="AA6">
        <f>Y3*Z6</f>
        <v>100</v>
      </c>
    </row>
    <row r="7" spans="1:34" x14ac:dyDescent="0.3">
      <c r="A7" t="s">
        <v>801</v>
      </c>
      <c r="F7" s="78">
        <v>0</v>
      </c>
      <c r="Y7">
        <v>100</v>
      </c>
      <c r="AA7">
        <f>Y4*Z6</f>
        <v>96.774193548387089</v>
      </c>
    </row>
    <row r="8" spans="1:34" x14ac:dyDescent="0.3">
      <c r="A8" t="s">
        <v>847</v>
      </c>
      <c r="F8" s="7">
        <f>U_tulot!H4</f>
        <v>0</v>
      </c>
      <c r="AA8">
        <f>AA6-AA7</f>
        <v>3.225806451612911</v>
      </c>
      <c r="AF8" s="7" t="s">
        <v>898</v>
      </c>
      <c r="AG8" t="s">
        <v>799</v>
      </c>
      <c r="AH8" t="s">
        <v>902</v>
      </c>
    </row>
    <row r="9" spans="1:34" x14ac:dyDescent="0.3">
      <c r="AF9" s="260">
        <v>0</v>
      </c>
      <c r="AG9" s="11">
        <v>0</v>
      </c>
      <c r="AH9" s="260">
        <f>32.4*20</f>
        <v>648</v>
      </c>
    </row>
    <row r="10" spans="1:34" x14ac:dyDescent="0.3">
      <c r="A10" t="s">
        <v>797</v>
      </c>
      <c r="L10" s="7">
        <f>U_Kuitti_yhteis2019!T82</f>
        <v>0.2338062924120913</v>
      </c>
      <c r="M10" s="7"/>
      <c r="O10" t="s">
        <v>905</v>
      </c>
      <c r="AF10" s="260">
        <v>250</v>
      </c>
      <c r="AG10" s="11">
        <v>0</v>
      </c>
      <c r="AH10" s="260">
        <f>AF10-AF10*AG10</f>
        <v>250</v>
      </c>
    </row>
    <row r="11" spans="1:34" x14ac:dyDescent="0.3">
      <c r="A11" s="7" t="s">
        <v>898</v>
      </c>
      <c r="B11" t="s">
        <v>798</v>
      </c>
      <c r="C11" t="s">
        <v>867</v>
      </c>
      <c r="D11" t="s">
        <v>810</v>
      </c>
      <c r="F11" t="s">
        <v>799</v>
      </c>
      <c r="G11" t="s">
        <v>800</v>
      </c>
      <c r="H11" t="s">
        <v>807</v>
      </c>
      <c r="I11" t="s">
        <v>808</v>
      </c>
      <c r="J11" t="s">
        <v>897</v>
      </c>
      <c r="K11" t="s">
        <v>809</v>
      </c>
      <c r="L11" t="s">
        <v>970</v>
      </c>
      <c r="O11" t="s">
        <v>903</v>
      </c>
      <c r="P11" t="s">
        <v>904</v>
      </c>
      <c r="Q11" t="s">
        <v>806</v>
      </c>
      <c r="R11" t="s">
        <v>811</v>
      </c>
      <c r="S11" s="7">
        <v>0.03</v>
      </c>
      <c r="AF11" s="259">
        <v>500</v>
      </c>
      <c r="AG11" s="254">
        <v>0</v>
      </c>
      <c r="AH11" s="260">
        <f t="shared" ref="AH11:AH33" si="0">AF11-AF11*AG11</f>
        <v>500</v>
      </c>
    </row>
    <row r="12" spans="1:34" x14ac:dyDescent="0.3">
      <c r="A12" s="260">
        <v>0</v>
      </c>
      <c r="B12" s="78">
        <f t="shared" ref="B12:B13" si="1">-A12*$F$8</f>
        <v>0</v>
      </c>
      <c r="C12" s="78">
        <f t="shared" ref="C12:C13" si="2">A12+B12+$F$7</f>
        <v>0</v>
      </c>
      <c r="D12" s="11"/>
      <c r="F12" s="11">
        <v>0</v>
      </c>
      <c r="G12" s="78">
        <f>32.4*20</f>
        <v>648</v>
      </c>
      <c r="H12" s="78">
        <f t="shared" ref="H12:H13" si="3">C12-G12</f>
        <v>-648</v>
      </c>
      <c r="J12" s="338">
        <f>C12*0.9*U_tulot!$G$9-C12*0.9*U_tulot!$H$9</f>
        <v>0</v>
      </c>
      <c r="K12" s="338">
        <f t="shared" ref="K12:K35" si="4">H12+I12+J12</f>
        <v>-648</v>
      </c>
      <c r="L12" s="338">
        <f>A12*$L$10</f>
        <v>0</v>
      </c>
      <c r="M12" s="338">
        <f>A12+L12</f>
        <v>0</v>
      </c>
      <c r="O12" s="260">
        <f>A12</f>
        <v>0</v>
      </c>
      <c r="S12" s="7"/>
      <c r="Z12" t="s">
        <v>899</v>
      </c>
      <c r="AF12" s="260">
        <v>750</v>
      </c>
      <c r="AG12" s="11">
        <v>0</v>
      </c>
      <c r="AH12" s="260">
        <f t="shared" si="0"/>
        <v>750</v>
      </c>
    </row>
    <row r="13" spans="1:34" x14ac:dyDescent="0.3">
      <c r="A13" s="260">
        <v>250</v>
      </c>
      <c r="B13" s="78">
        <f t="shared" si="1"/>
        <v>0</v>
      </c>
      <c r="C13" s="78">
        <f t="shared" si="2"/>
        <v>250</v>
      </c>
      <c r="D13" s="11">
        <f t="shared" ref="D13" si="5">(A13-C13)/A13</f>
        <v>0</v>
      </c>
      <c r="F13" s="11">
        <v>0</v>
      </c>
      <c r="G13" s="78">
        <f t="shared" ref="G13" si="6">A13-A13*F13</f>
        <v>250</v>
      </c>
      <c r="H13" s="78">
        <f t="shared" si="3"/>
        <v>0</v>
      </c>
      <c r="J13" s="338">
        <f>C13*0.9*U_tulot!$G$9-C13*0.9*U_tulot!$H$9</f>
        <v>0</v>
      </c>
      <c r="K13" s="338">
        <f t="shared" si="4"/>
        <v>0</v>
      </c>
      <c r="L13" s="338">
        <f t="shared" ref="L13:L36" si="7">A13*$L$10</f>
        <v>58.451573103022824</v>
      </c>
      <c r="M13" s="338">
        <f t="shared" ref="M13:M36" si="8">A13+L13</f>
        <v>308.45157310302284</v>
      </c>
      <c r="O13" s="260">
        <f t="shared" ref="O13:O36" si="9">A13</f>
        <v>250</v>
      </c>
      <c r="S13" s="7"/>
      <c r="Z13" t="s">
        <v>900</v>
      </c>
      <c r="AF13" s="259">
        <v>1000</v>
      </c>
      <c r="AG13" s="254">
        <v>0.01</v>
      </c>
      <c r="AH13" s="260">
        <f t="shared" si="0"/>
        <v>990</v>
      </c>
    </row>
    <row r="14" spans="1:34" x14ac:dyDescent="0.3">
      <c r="A14" s="259">
        <v>500</v>
      </c>
      <c r="B14" s="253">
        <f t="shared" ref="B14:B36" si="10">-A14*$F$8</f>
        <v>0</v>
      </c>
      <c r="C14" s="253">
        <f t="shared" ref="C14:C36" si="11">A14+B14+$F$7</f>
        <v>500</v>
      </c>
      <c r="D14" s="254">
        <f>(A14-C14)/A14</f>
        <v>0</v>
      </c>
      <c r="E14" s="2"/>
      <c r="F14" s="254">
        <v>0</v>
      </c>
      <c r="G14" s="253">
        <f t="shared" ref="G14:G19" si="12">A14-A14*F14</f>
        <v>500</v>
      </c>
      <c r="H14" s="253">
        <f t="shared" ref="H14:H19" si="13">C14-G14</f>
        <v>0</v>
      </c>
      <c r="I14" s="253">
        <f>C42</f>
        <v>16.666666666666668</v>
      </c>
      <c r="J14" s="253">
        <f>C14*0.9*U_tulot!$G$9-C14*0.9*U_tulot!$H$9</f>
        <v>0</v>
      </c>
      <c r="K14" s="253">
        <f>H14+I14+J14</f>
        <v>16.666666666666668</v>
      </c>
      <c r="L14" s="338">
        <f t="shared" si="7"/>
        <v>116.90314620604565</v>
      </c>
      <c r="M14" s="338">
        <f t="shared" si="8"/>
        <v>616.90314620604568</v>
      </c>
      <c r="N14" s="2"/>
      <c r="O14" s="260">
        <f t="shared" si="9"/>
        <v>500</v>
      </c>
      <c r="P14" s="2"/>
      <c r="Q14" s="253">
        <v>237</v>
      </c>
      <c r="R14" s="255">
        <v>25</v>
      </c>
      <c r="S14" s="236">
        <v>50000</v>
      </c>
      <c r="T14" s="256">
        <v>30</v>
      </c>
      <c r="U14" s="257">
        <f>S14/T14</f>
        <v>1666.6666666666667</v>
      </c>
      <c r="V14" s="2"/>
      <c r="W14" s="253">
        <f>C14-Q14</f>
        <v>263</v>
      </c>
      <c r="X14" s="258">
        <f>W14/4</f>
        <v>65.75</v>
      </c>
      <c r="AF14" s="260">
        <v>1250</v>
      </c>
      <c r="AG14" s="11">
        <v>2.5000000000000001E-2</v>
      </c>
      <c r="AH14" s="260">
        <f t="shared" si="0"/>
        <v>1218.75</v>
      </c>
    </row>
    <row r="15" spans="1:34" x14ac:dyDescent="0.3">
      <c r="A15" s="260">
        <v>750</v>
      </c>
      <c r="B15" s="78">
        <f t="shared" si="10"/>
        <v>0</v>
      </c>
      <c r="C15" s="78">
        <f t="shared" si="11"/>
        <v>750</v>
      </c>
      <c r="D15" s="11">
        <f t="shared" ref="D15:D36" si="14">(A15-C15)/A15</f>
        <v>0</v>
      </c>
      <c r="F15" s="11">
        <v>0</v>
      </c>
      <c r="G15" s="78">
        <f t="shared" si="12"/>
        <v>750</v>
      </c>
      <c r="H15" s="78">
        <f t="shared" si="13"/>
        <v>0</v>
      </c>
      <c r="J15" s="338">
        <f>C15*0.9*U_tulot!$G$9-C15*0.9*U_tulot!$H$9</f>
        <v>0</v>
      </c>
      <c r="K15" s="338">
        <f t="shared" si="4"/>
        <v>0</v>
      </c>
      <c r="L15" s="338">
        <f t="shared" si="7"/>
        <v>175.35471930906849</v>
      </c>
      <c r="M15" s="338">
        <f t="shared" si="8"/>
        <v>925.35471930906851</v>
      </c>
      <c r="O15" s="260">
        <f t="shared" si="9"/>
        <v>750</v>
      </c>
      <c r="AF15" s="260">
        <v>1500</v>
      </c>
      <c r="AG15" s="11">
        <v>0.06</v>
      </c>
      <c r="AH15" s="260">
        <f t="shared" si="0"/>
        <v>1410</v>
      </c>
    </row>
    <row r="16" spans="1:34" x14ac:dyDescent="0.3">
      <c r="A16" s="259">
        <v>1000</v>
      </c>
      <c r="B16" s="253">
        <f t="shared" si="10"/>
        <v>0</v>
      </c>
      <c r="C16" s="253">
        <f t="shared" si="11"/>
        <v>1000</v>
      </c>
      <c r="D16" s="254">
        <f t="shared" si="14"/>
        <v>0</v>
      </c>
      <c r="E16" s="2"/>
      <c r="F16" s="254">
        <v>0.01</v>
      </c>
      <c r="G16" s="253">
        <f t="shared" si="12"/>
        <v>990</v>
      </c>
      <c r="H16" s="253">
        <f t="shared" si="13"/>
        <v>10</v>
      </c>
      <c r="I16" s="253">
        <f>C47</f>
        <v>33.333333333333336</v>
      </c>
      <c r="J16" s="253">
        <f>C16*0.9*U_tulot!$G$9-C16*0.9*U_tulot!$H$9</f>
        <v>0</v>
      </c>
      <c r="K16" s="253">
        <f>H16+I16</f>
        <v>43.333333333333336</v>
      </c>
      <c r="L16" s="338">
        <f t="shared" si="7"/>
        <v>233.8062924120913</v>
      </c>
      <c r="M16" s="338">
        <f t="shared" si="8"/>
        <v>1233.8062924120914</v>
      </c>
      <c r="N16" s="2"/>
      <c r="O16" s="260">
        <f t="shared" si="9"/>
        <v>1000</v>
      </c>
      <c r="P16" s="2"/>
      <c r="Q16" s="253">
        <v>474</v>
      </c>
      <c r="R16" s="255">
        <v>25</v>
      </c>
      <c r="S16" s="236">
        <v>100000</v>
      </c>
      <c r="T16" s="256">
        <v>50</v>
      </c>
      <c r="U16" s="257">
        <f>S16/T16</f>
        <v>2000</v>
      </c>
      <c r="V16" s="2"/>
      <c r="W16" s="253">
        <f>C16-Q16</f>
        <v>526</v>
      </c>
      <c r="X16" s="258">
        <f>W16/4</f>
        <v>131.5</v>
      </c>
      <c r="AF16" s="260">
        <v>1750</v>
      </c>
      <c r="AG16" s="11">
        <v>9.5000000000000001E-2</v>
      </c>
      <c r="AH16" s="260">
        <f t="shared" si="0"/>
        <v>1583.75</v>
      </c>
    </row>
    <row r="17" spans="1:34" x14ac:dyDescent="0.3">
      <c r="A17" s="260">
        <v>1250</v>
      </c>
      <c r="B17" s="78">
        <f t="shared" si="10"/>
        <v>0</v>
      </c>
      <c r="C17" s="78">
        <f t="shared" si="11"/>
        <v>1250</v>
      </c>
      <c r="D17" s="11">
        <f t="shared" si="14"/>
        <v>0</v>
      </c>
      <c r="F17" s="11">
        <v>2.5000000000000001E-2</v>
      </c>
      <c r="G17" s="78">
        <f t="shared" si="12"/>
        <v>1218.75</v>
      </c>
      <c r="H17" s="78">
        <f t="shared" si="13"/>
        <v>31.25</v>
      </c>
      <c r="J17" s="338">
        <f>C17*0.9*U_tulot!$G$9-C17*0.9*U_tulot!$H$9</f>
        <v>0</v>
      </c>
      <c r="K17" s="338">
        <f t="shared" si="4"/>
        <v>31.25</v>
      </c>
      <c r="L17" s="338">
        <f t="shared" si="7"/>
        <v>292.25786551511413</v>
      </c>
      <c r="M17" s="338">
        <f t="shared" si="8"/>
        <v>1542.2578655151142</v>
      </c>
      <c r="O17" s="260">
        <f t="shared" si="9"/>
        <v>1250</v>
      </c>
      <c r="AF17" s="259">
        <v>2000</v>
      </c>
      <c r="AG17" s="254">
        <v>0.115</v>
      </c>
      <c r="AH17" s="260">
        <f t="shared" si="0"/>
        <v>1770</v>
      </c>
    </row>
    <row r="18" spans="1:34" x14ac:dyDescent="0.3">
      <c r="A18" s="260">
        <v>1500</v>
      </c>
      <c r="B18" s="78">
        <f t="shared" si="10"/>
        <v>0</v>
      </c>
      <c r="C18" s="78">
        <f t="shared" si="11"/>
        <v>1500</v>
      </c>
      <c r="D18" s="11">
        <f t="shared" si="14"/>
        <v>0</v>
      </c>
      <c r="F18" s="11">
        <v>0.06</v>
      </c>
      <c r="G18" s="78">
        <f t="shared" si="12"/>
        <v>1410</v>
      </c>
      <c r="H18" s="78">
        <f t="shared" si="13"/>
        <v>90</v>
      </c>
      <c r="J18" s="338">
        <f>C18*0.9*U_tulot!$G$9-C18*0.9*U_tulot!$H$9</f>
        <v>0</v>
      </c>
      <c r="K18" s="338">
        <f t="shared" si="4"/>
        <v>90</v>
      </c>
      <c r="L18" s="338">
        <f t="shared" si="7"/>
        <v>350.70943861813697</v>
      </c>
      <c r="M18" s="338">
        <f t="shared" si="8"/>
        <v>1850.709438618137</v>
      </c>
      <c r="O18" s="260">
        <f t="shared" si="9"/>
        <v>1500</v>
      </c>
      <c r="AF18" s="260">
        <v>2250</v>
      </c>
      <c r="AG18" s="11">
        <v>0.13500000000000001</v>
      </c>
      <c r="AH18" s="260">
        <f t="shared" si="0"/>
        <v>1946.25</v>
      </c>
    </row>
    <row r="19" spans="1:34" x14ac:dyDescent="0.3">
      <c r="A19" s="260">
        <v>1750</v>
      </c>
      <c r="B19" s="78">
        <f t="shared" si="10"/>
        <v>0</v>
      </c>
      <c r="C19" s="78">
        <f t="shared" si="11"/>
        <v>1750</v>
      </c>
      <c r="D19" s="11">
        <f t="shared" si="14"/>
        <v>0</v>
      </c>
      <c r="F19" s="11">
        <v>9.5000000000000001E-2</v>
      </c>
      <c r="G19" s="78">
        <f t="shared" si="12"/>
        <v>1583.75</v>
      </c>
      <c r="H19" s="78">
        <f t="shared" si="13"/>
        <v>166.25</v>
      </c>
      <c r="J19" s="338">
        <f>C19*0.9*U_tulot!$G$9-C19*0.9*U_tulot!$H$9</f>
        <v>0</v>
      </c>
      <c r="K19" s="338">
        <f t="shared" si="4"/>
        <v>166.25</v>
      </c>
      <c r="L19" s="338">
        <f t="shared" si="7"/>
        <v>409.16101172115981</v>
      </c>
      <c r="M19" s="338">
        <f t="shared" si="8"/>
        <v>2159.1610117211599</v>
      </c>
      <c r="O19" s="260">
        <f t="shared" si="9"/>
        <v>1750</v>
      </c>
      <c r="AF19" s="260">
        <v>2500</v>
      </c>
      <c r="AG19" s="11">
        <v>0.155</v>
      </c>
      <c r="AH19" s="260">
        <f t="shared" si="0"/>
        <v>2112.5</v>
      </c>
    </row>
    <row r="20" spans="1:34" x14ac:dyDescent="0.3">
      <c r="A20" s="259">
        <v>2000</v>
      </c>
      <c r="B20" s="253">
        <f t="shared" si="10"/>
        <v>0</v>
      </c>
      <c r="C20" s="253">
        <f t="shared" si="11"/>
        <v>2000</v>
      </c>
      <c r="D20" s="254">
        <f t="shared" si="14"/>
        <v>0</v>
      </c>
      <c r="E20" s="2"/>
      <c r="F20" s="254">
        <v>0.115</v>
      </c>
      <c r="G20" s="253">
        <f>A20-A20*F20</f>
        <v>1770</v>
      </c>
      <c r="H20" s="253">
        <f>C20-G20</f>
        <v>230</v>
      </c>
      <c r="I20" s="253">
        <f>C52</f>
        <v>50</v>
      </c>
      <c r="J20" s="253">
        <f>C20*0.9*U_tulot!$G$9-C20*0.9*U_tulot!$H$9</f>
        <v>0</v>
      </c>
      <c r="K20" s="253">
        <f>H20+I20</f>
        <v>280</v>
      </c>
      <c r="L20" s="338">
        <f t="shared" si="7"/>
        <v>467.61258482418259</v>
      </c>
      <c r="M20" s="338">
        <f t="shared" si="8"/>
        <v>2467.6125848241827</v>
      </c>
      <c r="N20" s="2"/>
      <c r="O20" s="260">
        <f t="shared" si="9"/>
        <v>2000</v>
      </c>
      <c r="P20" s="2"/>
      <c r="Q20" s="253">
        <v>711</v>
      </c>
      <c r="R20" s="255">
        <v>25</v>
      </c>
      <c r="S20" s="236">
        <v>150000</v>
      </c>
      <c r="T20" s="256">
        <v>75</v>
      </c>
      <c r="U20" s="257">
        <f>S20/T20</f>
        <v>2000</v>
      </c>
      <c r="V20" s="2"/>
      <c r="W20" s="253">
        <f>C20-Q20</f>
        <v>1289</v>
      </c>
      <c r="X20" s="258">
        <f>W20/4</f>
        <v>322.25</v>
      </c>
      <c r="AF20" s="260">
        <v>2750</v>
      </c>
      <c r="AG20" s="11">
        <v>0.17</v>
      </c>
      <c r="AH20" s="260">
        <f t="shared" si="0"/>
        <v>2282.5</v>
      </c>
    </row>
    <row r="21" spans="1:34" x14ac:dyDescent="0.3">
      <c r="A21" s="260">
        <v>2250</v>
      </c>
      <c r="B21" s="78">
        <f t="shared" si="10"/>
        <v>0</v>
      </c>
      <c r="C21" s="78">
        <f t="shared" si="11"/>
        <v>2250</v>
      </c>
      <c r="D21" s="11">
        <f t="shared" si="14"/>
        <v>0</v>
      </c>
      <c r="F21" s="11">
        <v>0.13500000000000001</v>
      </c>
      <c r="G21" s="78">
        <f t="shared" ref="G21:G23" si="15">A21-A21*F21</f>
        <v>1946.25</v>
      </c>
      <c r="H21" s="78">
        <f t="shared" ref="H21:H23" si="16">C21-G21</f>
        <v>303.75</v>
      </c>
      <c r="J21" s="338">
        <f>C21*0.9*U_tulot!$G$9-C21*0.9*U_tulot!$H$9</f>
        <v>0</v>
      </c>
      <c r="K21" s="338">
        <f t="shared" si="4"/>
        <v>303.75</v>
      </c>
      <c r="L21" s="338">
        <f t="shared" si="7"/>
        <v>526.06415792720543</v>
      </c>
      <c r="M21" s="338">
        <f t="shared" si="8"/>
        <v>2776.0641579272055</v>
      </c>
      <c r="O21" s="260">
        <f t="shared" si="9"/>
        <v>2250</v>
      </c>
      <c r="AF21" s="260">
        <v>3000</v>
      </c>
      <c r="AG21" s="11">
        <v>0.185</v>
      </c>
      <c r="AH21" s="260">
        <f t="shared" si="0"/>
        <v>2445</v>
      </c>
    </row>
    <row r="22" spans="1:34" x14ac:dyDescent="0.3">
      <c r="A22" s="349">
        <v>2500</v>
      </c>
      <c r="B22" s="78">
        <f t="shared" si="10"/>
        <v>0</v>
      </c>
      <c r="C22" s="78">
        <f t="shared" si="11"/>
        <v>2500</v>
      </c>
      <c r="D22" s="11">
        <f t="shared" si="14"/>
        <v>0</v>
      </c>
      <c r="F22" s="11">
        <v>0.155</v>
      </c>
      <c r="G22" s="78">
        <f t="shared" si="15"/>
        <v>2112.5</v>
      </c>
      <c r="H22" s="78">
        <f t="shared" si="16"/>
        <v>387.5</v>
      </c>
      <c r="J22" s="338">
        <f>C22*0.9*U_tulot!$G$9-C22*0.9*U_tulot!$H$9</f>
        <v>0</v>
      </c>
      <c r="K22" s="338">
        <f t="shared" si="4"/>
        <v>387.5</v>
      </c>
      <c r="L22" s="338">
        <f t="shared" si="7"/>
        <v>584.51573103022827</v>
      </c>
      <c r="M22" s="338">
        <f t="shared" si="8"/>
        <v>3084.5157310302284</v>
      </c>
      <c r="O22" s="260">
        <f t="shared" si="9"/>
        <v>2500</v>
      </c>
      <c r="AF22" s="260">
        <v>3250</v>
      </c>
      <c r="AG22" s="11">
        <v>0.20499999999999999</v>
      </c>
      <c r="AH22" s="260">
        <f t="shared" si="0"/>
        <v>2583.75</v>
      </c>
    </row>
    <row r="23" spans="1:34" x14ac:dyDescent="0.3">
      <c r="A23" s="260">
        <v>2750</v>
      </c>
      <c r="B23" s="78">
        <f t="shared" si="10"/>
        <v>0</v>
      </c>
      <c r="C23" s="78">
        <f t="shared" si="11"/>
        <v>2750</v>
      </c>
      <c r="D23" s="11">
        <f t="shared" si="14"/>
        <v>0</v>
      </c>
      <c r="F23" s="11">
        <v>0.17</v>
      </c>
      <c r="G23" s="78">
        <f t="shared" si="15"/>
        <v>2282.5</v>
      </c>
      <c r="H23" s="78">
        <f t="shared" si="16"/>
        <v>467.5</v>
      </c>
      <c r="J23" s="338">
        <f>C23*0.9*U_tulot!$G$9-C23*0.9*U_tulot!$H$9</f>
        <v>0</v>
      </c>
      <c r="K23" s="338">
        <f t="shared" si="4"/>
        <v>467.5</v>
      </c>
      <c r="L23" s="338">
        <f t="shared" si="7"/>
        <v>642.9673041332511</v>
      </c>
      <c r="M23" s="338">
        <f t="shared" si="8"/>
        <v>3392.9673041332512</v>
      </c>
      <c r="O23" s="260">
        <f t="shared" si="9"/>
        <v>2750</v>
      </c>
      <c r="AF23" s="259">
        <v>3500</v>
      </c>
      <c r="AG23" s="254">
        <v>0.215</v>
      </c>
      <c r="AH23" s="260">
        <f t="shared" si="0"/>
        <v>2747.5</v>
      </c>
    </row>
    <row r="24" spans="1:34" x14ac:dyDescent="0.3">
      <c r="A24" s="219">
        <v>3000</v>
      </c>
      <c r="B24" s="78">
        <f t="shared" si="10"/>
        <v>0</v>
      </c>
      <c r="C24" s="78">
        <f t="shared" si="11"/>
        <v>3000</v>
      </c>
      <c r="D24" s="11">
        <f t="shared" si="14"/>
        <v>0</v>
      </c>
      <c r="F24" s="11">
        <v>0.185</v>
      </c>
      <c r="G24" s="350">
        <f>A24-A24*F24</f>
        <v>2445</v>
      </c>
      <c r="H24" s="78">
        <f>C24-G24</f>
        <v>555</v>
      </c>
      <c r="I24" s="78">
        <f>C57</f>
        <v>66.666666666666671</v>
      </c>
      <c r="J24" s="338">
        <f>C24*0.9*U_tulot!$G$9-C24*0.9*U_tulot!$H$9</f>
        <v>0</v>
      </c>
      <c r="K24" s="78">
        <f>H24+I24</f>
        <v>621.66666666666663</v>
      </c>
      <c r="L24" s="338">
        <f t="shared" si="7"/>
        <v>701.41887723627394</v>
      </c>
      <c r="M24" s="338">
        <f t="shared" si="8"/>
        <v>3701.4188772362741</v>
      </c>
      <c r="O24" s="260">
        <f t="shared" si="9"/>
        <v>3000</v>
      </c>
      <c r="AF24" s="260">
        <v>3750</v>
      </c>
      <c r="AG24" s="11">
        <v>0.22500000000000001</v>
      </c>
      <c r="AH24" s="260">
        <f t="shared" si="0"/>
        <v>2906.25</v>
      </c>
    </row>
    <row r="25" spans="1:34" x14ac:dyDescent="0.3">
      <c r="A25" s="260">
        <v>3250</v>
      </c>
      <c r="B25" s="78">
        <f t="shared" si="10"/>
        <v>0</v>
      </c>
      <c r="C25" s="78">
        <f t="shared" si="11"/>
        <v>3250</v>
      </c>
      <c r="D25" s="11">
        <f t="shared" si="14"/>
        <v>0</v>
      </c>
      <c r="F25" s="11">
        <v>0.20499999999999999</v>
      </c>
      <c r="G25" s="78">
        <f>A25-A25*F25</f>
        <v>2583.75</v>
      </c>
      <c r="H25" s="78">
        <f>C25-G25</f>
        <v>666.25</v>
      </c>
      <c r="J25" s="338">
        <f>C25*0.9*U_tulot!$G$9-C25*0.9*U_tulot!$H$9</f>
        <v>0</v>
      </c>
      <c r="K25" s="338">
        <f t="shared" si="4"/>
        <v>666.25</v>
      </c>
      <c r="L25" s="338">
        <f t="shared" si="7"/>
        <v>759.87045033929678</v>
      </c>
      <c r="M25" s="338">
        <f t="shared" si="8"/>
        <v>4009.8704503392969</v>
      </c>
      <c r="O25" s="260">
        <f t="shared" si="9"/>
        <v>3250</v>
      </c>
      <c r="AF25" s="260">
        <v>4000</v>
      </c>
      <c r="AG25" s="11">
        <v>0.24</v>
      </c>
      <c r="AH25" s="260">
        <f t="shared" si="0"/>
        <v>3040</v>
      </c>
    </row>
    <row r="26" spans="1:34" x14ac:dyDescent="0.3">
      <c r="A26" s="347">
        <v>3500</v>
      </c>
      <c r="B26" s="253">
        <f t="shared" si="10"/>
        <v>0</v>
      </c>
      <c r="C26" s="253">
        <f t="shared" si="11"/>
        <v>3500</v>
      </c>
      <c r="D26" s="254">
        <f t="shared" si="14"/>
        <v>0</v>
      </c>
      <c r="E26" s="2"/>
      <c r="F26" s="254">
        <v>0.215</v>
      </c>
      <c r="G26" s="253">
        <f>A26-A26*F26</f>
        <v>2747.5</v>
      </c>
      <c r="H26" s="253">
        <f>C26-G26</f>
        <v>752.5</v>
      </c>
      <c r="I26" s="253">
        <f>C58</f>
        <v>100</v>
      </c>
      <c r="J26" s="253">
        <f>C26*0.9*U_tulot!$G$9-C26*0.9*U_tulot!$H$9</f>
        <v>0</v>
      </c>
      <c r="K26" s="253">
        <f>H26+I26</f>
        <v>852.5</v>
      </c>
      <c r="L26" s="338">
        <f t="shared" si="7"/>
        <v>818.32202344231962</v>
      </c>
      <c r="M26" s="338">
        <f t="shared" si="8"/>
        <v>4318.3220234423197</v>
      </c>
      <c r="N26" s="2"/>
      <c r="O26" s="260">
        <f t="shared" si="9"/>
        <v>3500</v>
      </c>
      <c r="P26" s="2"/>
      <c r="Q26" s="253">
        <v>1423</v>
      </c>
      <c r="R26" s="255">
        <v>25</v>
      </c>
      <c r="S26" s="236">
        <v>300000</v>
      </c>
      <c r="T26" s="256">
        <v>150</v>
      </c>
      <c r="U26" s="257">
        <f>S26/T26</f>
        <v>2000</v>
      </c>
      <c r="V26" s="2"/>
      <c r="W26" s="253">
        <f>C26-Q26</f>
        <v>2077</v>
      </c>
      <c r="X26" s="258">
        <f>W26/4</f>
        <v>519.25</v>
      </c>
      <c r="AF26" s="260">
        <v>4250</v>
      </c>
      <c r="AG26" s="11">
        <v>0.25</v>
      </c>
      <c r="AH26" s="260">
        <f t="shared" si="0"/>
        <v>3187.5</v>
      </c>
    </row>
    <row r="27" spans="1:34" x14ac:dyDescent="0.3">
      <c r="A27" s="260">
        <v>3750</v>
      </c>
      <c r="B27" s="78">
        <f t="shared" si="10"/>
        <v>0</v>
      </c>
      <c r="C27" s="78">
        <f t="shared" si="11"/>
        <v>3750</v>
      </c>
      <c r="D27" s="11">
        <f t="shared" si="14"/>
        <v>0</v>
      </c>
      <c r="F27" s="11">
        <v>0.22500000000000001</v>
      </c>
      <c r="G27" s="78">
        <f t="shared" ref="G27:G35" si="17">A27-A27*F27</f>
        <v>2906.25</v>
      </c>
      <c r="H27" s="78">
        <f t="shared" ref="H27:H35" si="18">C27-G27</f>
        <v>843.75</v>
      </c>
      <c r="J27" s="338">
        <f>C27*0.9*U_tulot!$G$9-C27*0.9*U_tulot!$H$9</f>
        <v>0</v>
      </c>
      <c r="K27" s="338">
        <f t="shared" si="4"/>
        <v>843.75</v>
      </c>
      <c r="L27" s="338">
        <f t="shared" si="7"/>
        <v>876.77359654534234</v>
      </c>
      <c r="M27" s="338">
        <f t="shared" si="8"/>
        <v>4626.7735965453421</v>
      </c>
      <c r="O27" s="260">
        <f t="shared" si="9"/>
        <v>3750</v>
      </c>
      <c r="AF27" s="260">
        <v>4500</v>
      </c>
      <c r="AG27" s="11">
        <v>0.255</v>
      </c>
      <c r="AH27" s="260">
        <f t="shared" si="0"/>
        <v>3352.5</v>
      </c>
    </row>
    <row r="28" spans="1:34" x14ac:dyDescent="0.3">
      <c r="A28" s="260">
        <v>4000</v>
      </c>
      <c r="B28" s="78">
        <f t="shared" si="10"/>
        <v>0</v>
      </c>
      <c r="C28" s="78">
        <f t="shared" si="11"/>
        <v>4000</v>
      </c>
      <c r="D28" s="11">
        <f t="shared" si="14"/>
        <v>0</v>
      </c>
      <c r="F28" s="11">
        <v>0.24</v>
      </c>
      <c r="G28" s="95">
        <f t="shared" si="17"/>
        <v>3040</v>
      </c>
      <c r="H28" s="78">
        <f t="shared" si="18"/>
        <v>960</v>
      </c>
      <c r="J28" s="338">
        <f>C28*0.9*U_tulot!$G$9-C28*0.9*U_tulot!$H$9</f>
        <v>0</v>
      </c>
      <c r="K28" s="338">
        <f t="shared" si="4"/>
        <v>960</v>
      </c>
      <c r="L28" s="338">
        <f t="shared" si="7"/>
        <v>935.22516964836518</v>
      </c>
      <c r="M28" s="338">
        <f t="shared" si="8"/>
        <v>4935.2251696483654</v>
      </c>
      <c r="O28" s="260">
        <f t="shared" si="9"/>
        <v>4000</v>
      </c>
      <c r="AF28" s="260">
        <v>4750</v>
      </c>
      <c r="AG28" s="11">
        <v>0.26500000000000001</v>
      </c>
      <c r="AH28" s="260">
        <f t="shared" si="0"/>
        <v>3491.25</v>
      </c>
    </row>
    <row r="29" spans="1:34" x14ac:dyDescent="0.3">
      <c r="A29" s="260">
        <v>4250</v>
      </c>
      <c r="B29" s="78">
        <f t="shared" si="10"/>
        <v>0</v>
      </c>
      <c r="C29" s="78">
        <f t="shared" si="11"/>
        <v>4250</v>
      </c>
      <c r="D29" s="11">
        <f t="shared" si="14"/>
        <v>0</v>
      </c>
      <c r="F29" s="11">
        <v>0.25</v>
      </c>
      <c r="G29" s="78">
        <f t="shared" si="17"/>
        <v>3187.5</v>
      </c>
      <c r="H29" s="78">
        <f t="shared" si="18"/>
        <v>1062.5</v>
      </c>
      <c r="J29" s="338">
        <f>C29*0.9*U_tulot!$G$9-C29*0.9*U_tulot!$H$9</f>
        <v>0</v>
      </c>
      <c r="K29" s="338">
        <f t="shared" si="4"/>
        <v>1062.5</v>
      </c>
      <c r="L29" s="338">
        <f t="shared" si="7"/>
        <v>993.67674275138802</v>
      </c>
      <c r="M29" s="338">
        <f t="shared" si="8"/>
        <v>5243.6767427513878</v>
      </c>
      <c r="O29" s="260">
        <f t="shared" si="9"/>
        <v>4250</v>
      </c>
      <c r="AF29" s="260">
        <v>5000</v>
      </c>
      <c r="AG29" s="11">
        <v>0.27500000000000002</v>
      </c>
      <c r="AH29" s="260">
        <f t="shared" si="0"/>
        <v>3625</v>
      </c>
    </row>
    <row r="30" spans="1:34" x14ac:dyDescent="0.3">
      <c r="A30" s="260">
        <v>4500</v>
      </c>
      <c r="B30" s="78">
        <f t="shared" si="10"/>
        <v>0</v>
      </c>
      <c r="C30" s="78">
        <f t="shared" si="11"/>
        <v>4500</v>
      </c>
      <c r="D30" s="11">
        <f t="shared" si="14"/>
        <v>0</v>
      </c>
      <c r="F30" s="11">
        <v>0.255</v>
      </c>
      <c r="G30" s="78">
        <f t="shared" si="17"/>
        <v>3352.5</v>
      </c>
      <c r="H30" s="78">
        <f t="shared" si="18"/>
        <v>1147.5</v>
      </c>
      <c r="J30" s="338">
        <f>C30*0.9*U_tulot!$G$9-C30*0.9*U_tulot!$H$9</f>
        <v>0</v>
      </c>
      <c r="K30" s="338">
        <f t="shared" si="4"/>
        <v>1147.5</v>
      </c>
      <c r="L30" s="338">
        <f t="shared" si="7"/>
        <v>1052.1283158544109</v>
      </c>
      <c r="M30" s="338">
        <f t="shared" si="8"/>
        <v>5552.1283158544111</v>
      </c>
      <c r="O30" s="260">
        <f t="shared" si="9"/>
        <v>4500</v>
      </c>
      <c r="AF30" s="260">
        <v>5250</v>
      </c>
      <c r="AG30" s="11">
        <v>0.28000000000000003</v>
      </c>
      <c r="AH30" s="260">
        <f t="shared" si="0"/>
        <v>3780</v>
      </c>
    </row>
    <row r="31" spans="1:34" x14ac:dyDescent="0.3">
      <c r="A31" s="260">
        <v>4750</v>
      </c>
      <c r="B31" s="78">
        <f t="shared" si="10"/>
        <v>0</v>
      </c>
      <c r="C31" s="78">
        <f t="shared" si="11"/>
        <v>4750</v>
      </c>
      <c r="D31" s="11">
        <f t="shared" si="14"/>
        <v>0</v>
      </c>
      <c r="F31" s="11">
        <v>0.26500000000000001</v>
      </c>
      <c r="G31" s="348">
        <f t="shared" si="17"/>
        <v>3491.25</v>
      </c>
      <c r="H31" s="78">
        <f t="shared" si="18"/>
        <v>1258.75</v>
      </c>
      <c r="J31" s="338">
        <f>C31*0.9*U_tulot!$G$9-C31*0.9*U_tulot!$H$9</f>
        <v>0</v>
      </c>
      <c r="K31" s="338">
        <f t="shared" si="4"/>
        <v>1258.75</v>
      </c>
      <c r="L31" s="338">
        <f t="shared" si="7"/>
        <v>1110.5798889574337</v>
      </c>
      <c r="M31" s="338">
        <f t="shared" si="8"/>
        <v>5860.5798889574335</v>
      </c>
      <c r="O31" s="260">
        <f t="shared" si="9"/>
        <v>4750</v>
      </c>
      <c r="AF31" s="260">
        <v>5500</v>
      </c>
      <c r="AG31" s="11">
        <v>0.28499999999999998</v>
      </c>
      <c r="AH31" s="260">
        <f t="shared" si="0"/>
        <v>3932.5</v>
      </c>
    </row>
    <row r="32" spans="1:34" x14ac:dyDescent="0.3">
      <c r="A32" s="260">
        <v>5000</v>
      </c>
      <c r="B32" s="78">
        <f t="shared" si="10"/>
        <v>0</v>
      </c>
      <c r="C32" s="78">
        <f t="shared" si="11"/>
        <v>5000</v>
      </c>
      <c r="D32" s="11">
        <f t="shared" si="14"/>
        <v>0</v>
      </c>
      <c r="F32" s="11">
        <v>0.27500000000000002</v>
      </c>
      <c r="G32" s="78">
        <f t="shared" si="17"/>
        <v>3625</v>
      </c>
      <c r="H32" s="78">
        <f t="shared" si="18"/>
        <v>1375</v>
      </c>
      <c r="J32" s="338">
        <f>C32*0.9*U_tulot!$G$9-C32*0.9*U_tulot!$H$9</f>
        <v>0</v>
      </c>
      <c r="K32" s="338">
        <f t="shared" si="4"/>
        <v>1375</v>
      </c>
      <c r="L32" s="338">
        <f t="shared" si="7"/>
        <v>1169.0314620604565</v>
      </c>
      <c r="M32" s="338">
        <f t="shared" si="8"/>
        <v>6169.0314620604568</v>
      </c>
      <c r="O32" s="260">
        <f t="shared" si="9"/>
        <v>5000</v>
      </c>
      <c r="AF32" s="260">
        <v>5750</v>
      </c>
      <c r="AG32" s="11">
        <v>0.28999999999999998</v>
      </c>
      <c r="AH32" s="260">
        <f t="shared" si="0"/>
        <v>4082.5</v>
      </c>
    </row>
    <row r="33" spans="1:34" x14ac:dyDescent="0.3">
      <c r="A33" s="260">
        <v>5250</v>
      </c>
      <c r="B33" s="78">
        <f t="shared" si="10"/>
        <v>0</v>
      </c>
      <c r="C33" s="78">
        <f t="shared" si="11"/>
        <v>5250</v>
      </c>
      <c r="D33" s="11">
        <f t="shared" si="14"/>
        <v>0</v>
      </c>
      <c r="F33" s="11">
        <v>0.28000000000000003</v>
      </c>
      <c r="G33" s="78">
        <f t="shared" si="17"/>
        <v>3780</v>
      </c>
      <c r="H33" s="78">
        <f t="shared" si="18"/>
        <v>1470</v>
      </c>
      <c r="J33" s="338">
        <f>C33*0.9*U_tulot!$G$9-C33*0.9*U_tulot!$H$9</f>
        <v>0</v>
      </c>
      <c r="K33" s="338">
        <f t="shared" si="4"/>
        <v>1470</v>
      </c>
      <c r="L33" s="338">
        <f t="shared" si="7"/>
        <v>1227.4830351634794</v>
      </c>
      <c r="M33" s="338">
        <f t="shared" si="8"/>
        <v>6477.4830351634791</v>
      </c>
      <c r="O33" s="260">
        <f t="shared" si="9"/>
        <v>5250</v>
      </c>
      <c r="AF33" s="260">
        <v>6000</v>
      </c>
      <c r="AG33" s="11">
        <v>0.29499999999999998</v>
      </c>
      <c r="AH33" s="260">
        <f t="shared" si="0"/>
        <v>4230</v>
      </c>
    </row>
    <row r="34" spans="1:34" x14ac:dyDescent="0.3">
      <c r="A34" s="260">
        <v>5500</v>
      </c>
      <c r="B34" s="78">
        <f t="shared" si="10"/>
        <v>0</v>
      </c>
      <c r="C34" s="78">
        <f t="shared" si="11"/>
        <v>5500</v>
      </c>
      <c r="D34" s="11">
        <f t="shared" si="14"/>
        <v>0</v>
      </c>
      <c r="F34" s="11">
        <v>0.28499999999999998</v>
      </c>
      <c r="G34" s="78">
        <f t="shared" si="17"/>
        <v>3932.5</v>
      </c>
      <c r="H34" s="78">
        <f t="shared" si="18"/>
        <v>1567.5</v>
      </c>
      <c r="J34" s="338">
        <f>C34*0.9*U_tulot!$G$9-C34*0.9*U_tulot!$H$9</f>
        <v>0</v>
      </c>
      <c r="K34" s="338">
        <f t="shared" si="4"/>
        <v>1567.5</v>
      </c>
      <c r="L34" s="338">
        <f t="shared" si="7"/>
        <v>1285.9346082665022</v>
      </c>
      <c r="M34" s="338">
        <f t="shared" si="8"/>
        <v>6785.9346082665024</v>
      </c>
      <c r="O34" s="260">
        <f t="shared" si="9"/>
        <v>5500</v>
      </c>
    </row>
    <row r="35" spans="1:34" x14ac:dyDescent="0.3">
      <c r="A35" s="260">
        <v>5750</v>
      </c>
      <c r="B35" s="78">
        <f t="shared" si="10"/>
        <v>0</v>
      </c>
      <c r="C35" s="78">
        <f t="shared" si="11"/>
        <v>5750</v>
      </c>
      <c r="D35" s="11">
        <f t="shared" si="14"/>
        <v>0</v>
      </c>
      <c r="F35" s="11">
        <v>0.28999999999999998</v>
      </c>
      <c r="G35" s="78">
        <f t="shared" si="17"/>
        <v>4082.5</v>
      </c>
      <c r="H35" s="78">
        <f t="shared" si="18"/>
        <v>1667.5</v>
      </c>
      <c r="J35" s="338">
        <f>C35*0.9*U_tulot!$G$9-C35*0.9*U_tulot!$H$9</f>
        <v>0</v>
      </c>
      <c r="K35" s="338">
        <f t="shared" si="4"/>
        <v>1667.5</v>
      </c>
      <c r="L35" s="338">
        <f t="shared" si="7"/>
        <v>1344.386181369525</v>
      </c>
      <c r="M35" s="338">
        <f t="shared" si="8"/>
        <v>7094.3861813695248</v>
      </c>
      <c r="O35" s="260">
        <f t="shared" si="9"/>
        <v>5750</v>
      </c>
    </row>
    <row r="36" spans="1:34" x14ac:dyDescent="0.3">
      <c r="A36" s="260">
        <v>6000</v>
      </c>
      <c r="B36" s="78">
        <f t="shared" si="10"/>
        <v>0</v>
      </c>
      <c r="C36" s="78">
        <f t="shared" si="11"/>
        <v>6000</v>
      </c>
      <c r="D36" s="11">
        <f t="shared" si="14"/>
        <v>0</v>
      </c>
      <c r="F36" s="11">
        <v>0.29499999999999998</v>
      </c>
      <c r="G36" s="78">
        <f>A36-A36*F36</f>
        <v>4230</v>
      </c>
      <c r="H36" s="78">
        <f>C36-G36</f>
        <v>1770</v>
      </c>
      <c r="I36" s="78">
        <f>C57</f>
        <v>66.666666666666671</v>
      </c>
      <c r="J36" s="338">
        <f>C36*0.9*U_tulot!$G$9-C36*0.9*U_tulot!$H$9</f>
        <v>0</v>
      </c>
      <c r="K36" s="78">
        <f>H36+I36</f>
        <v>1836.6666666666667</v>
      </c>
      <c r="L36" s="338">
        <f t="shared" si="7"/>
        <v>1402.8377544725479</v>
      </c>
      <c r="M36" s="338">
        <f t="shared" si="8"/>
        <v>7402.8377544725481</v>
      </c>
      <c r="O36" s="260">
        <f t="shared" si="9"/>
        <v>6000</v>
      </c>
    </row>
    <row r="37" spans="1:34" x14ac:dyDescent="0.3">
      <c r="A37" s="260"/>
      <c r="B37" s="78"/>
      <c r="C37" s="78"/>
      <c r="D37" s="11"/>
      <c r="F37" s="11"/>
      <c r="G37" s="78"/>
      <c r="H37" s="78"/>
      <c r="I37" s="78"/>
      <c r="J37" s="338"/>
      <c r="K37" s="78"/>
      <c r="L37" s="78"/>
      <c r="M37" s="78"/>
    </row>
    <row r="38" spans="1:34" x14ac:dyDescent="0.3">
      <c r="A38" s="78"/>
      <c r="B38" s="78"/>
      <c r="C38" s="78"/>
      <c r="D38" s="11"/>
    </row>
    <row r="39" spans="1:34" x14ac:dyDescent="0.3">
      <c r="A39" t="s">
        <v>802</v>
      </c>
    </row>
    <row r="40" spans="1:34" x14ac:dyDescent="0.3">
      <c r="A40" t="s">
        <v>805</v>
      </c>
      <c r="D40" s="11">
        <v>4.0000000000000001E-3</v>
      </c>
    </row>
    <row r="41" spans="1:34" x14ac:dyDescent="0.3">
      <c r="A41" t="s">
        <v>803</v>
      </c>
      <c r="C41" t="s">
        <v>804</v>
      </c>
      <c r="S41">
        <v>3826</v>
      </c>
      <c r="T41">
        <f>S41*F27</f>
        <v>860.85</v>
      </c>
      <c r="U41">
        <f>S41*Ihmismäärät!C23</f>
        <v>279236784</v>
      </c>
    </row>
    <row r="42" spans="1:34" x14ac:dyDescent="0.3">
      <c r="A42" s="261">
        <v>50000</v>
      </c>
      <c r="B42" s="339">
        <f>T14</f>
        <v>30</v>
      </c>
      <c r="C42" s="78">
        <f t="shared" ref="C42:C58" si="19">A42*$D$40/12</f>
        <v>16.666666666666668</v>
      </c>
      <c r="D42" s="91">
        <f>C42*12</f>
        <v>200</v>
      </c>
      <c r="T42">
        <f>S41-T41</f>
        <v>2965.15</v>
      </c>
    </row>
    <row r="43" spans="1:34" x14ac:dyDescent="0.3">
      <c r="A43" s="261">
        <v>60000</v>
      </c>
      <c r="C43" s="78">
        <f t="shared" si="19"/>
        <v>20</v>
      </c>
      <c r="D43" s="91">
        <f t="shared" ref="D43:D58" si="20">C43*12</f>
        <v>240</v>
      </c>
    </row>
    <row r="44" spans="1:34" x14ac:dyDescent="0.3">
      <c r="A44" s="261">
        <v>70000</v>
      </c>
      <c r="C44" s="78">
        <f t="shared" si="19"/>
        <v>23.333333333333332</v>
      </c>
      <c r="D44" s="91">
        <f t="shared" si="20"/>
        <v>280</v>
      </c>
    </row>
    <row r="45" spans="1:34" x14ac:dyDescent="0.3">
      <c r="A45" s="261">
        <v>80000</v>
      </c>
      <c r="C45" s="78">
        <f t="shared" si="19"/>
        <v>26.666666666666668</v>
      </c>
      <c r="D45" s="91">
        <f t="shared" si="20"/>
        <v>320</v>
      </c>
    </row>
    <row r="46" spans="1:34" x14ac:dyDescent="0.3">
      <c r="A46" s="261">
        <v>90000</v>
      </c>
      <c r="C46" s="78">
        <f t="shared" si="19"/>
        <v>30</v>
      </c>
      <c r="D46" s="91">
        <f t="shared" si="20"/>
        <v>360</v>
      </c>
    </row>
    <row r="47" spans="1:34" x14ac:dyDescent="0.3">
      <c r="A47" s="261">
        <v>100000</v>
      </c>
      <c r="B47" s="339">
        <f>T16</f>
        <v>50</v>
      </c>
      <c r="C47" s="78">
        <f t="shared" si="19"/>
        <v>33.333333333333336</v>
      </c>
      <c r="D47" s="91">
        <f t="shared" si="20"/>
        <v>400</v>
      </c>
    </row>
    <row r="48" spans="1:34" x14ac:dyDescent="0.3">
      <c r="A48" s="261">
        <v>110000</v>
      </c>
      <c r="C48" s="78">
        <f t="shared" si="19"/>
        <v>36.666666666666664</v>
      </c>
      <c r="D48" s="91">
        <f t="shared" si="20"/>
        <v>440</v>
      </c>
      <c r="S48">
        <v>3036</v>
      </c>
      <c r="T48">
        <f>S48*F24</f>
        <v>561.66</v>
      </c>
      <c r="U48">
        <f>S48*Ihmismäärät!C24</f>
        <v>1311552000</v>
      </c>
    </row>
    <row r="49" spans="1:21" x14ac:dyDescent="0.3">
      <c r="A49" s="261">
        <v>120000</v>
      </c>
      <c r="C49" s="78">
        <f t="shared" si="19"/>
        <v>40</v>
      </c>
      <c r="D49" s="91">
        <f t="shared" si="20"/>
        <v>480</v>
      </c>
      <c r="I49" t="s">
        <v>974</v>
      </c>
    </row>
    <row r="50" spans="1:21" x14ac:dyDescent="0.3">
      <c r="A50" s="261">
        <v>130000</v>
      </c>
      <c r="C50" s="78">
        <f t="shared" si="19"/>
        <v>43.333333333333336</v>
      </c>
      <c r="D50" s="91">
        <f t="shared" si="20"/>
        <v>520</v>
      </c>
      <c r="I50" t="s">
        <v>975</v>
      </c>
    </row>
    <row r="51" spans="1:21" x14ac:dyDescent="0.3">
      <c r="A51" s="261">
        <v>140000</v>
      </c>
      <c r="C51" s="78">
        <f t="shared" si="19"/>
        <v>46.666666666666664</v>
      </c>
      <c r="D51" s="91">
        <f t="shared" si="20"/>
        <v>560</v>
      </c>
      <c r="I51" t="s">
        <v>973</v>
      </c>
    </row>
    <row r="52" spans="1:21" x14ac:dyDescent="0.3">
      <c r="A52" s="261">
        <v>150000</v>
      </c>
      <c r="B52" s="339">
        <f>T20</f>
        <v>75</v>
      </c>
      <c r="C52" s="78">
        <f t="shared" si="19"/>
        <v>50</v>
      </c>
      <c r="D52" s="91">
        <f t="shared" si="20"/>
        <v>600</v>
      </c>
      <c r="I52" t="s">
        <v>972</v>
      </c>
    </row>
    <row r="53" spans="1:21" x14ac:dyDescent="0.3">
      <c r="A53" s="261">
        <v>160000</v>
      </c>
      <c r="C53" s="78">
        <f t="shared" si="19"/>
        <v>53.333333333333336</v>
      </c>
      <c r="D53" s="91">
        <f t="shared" si="20"/>
        <v>640</v>
      </c>
      <c r="I53" t="s">
        <v>971</v>
      </c>
      <c r="T53">
        <f>S48-T48</f>
        <v>2474.34</v>
      </c>
    </row>
    <row r="54" spans="1:21" x14ac:dyDescent="0.3">
      <c r="A54" s="261">
        <v>170000</v>
      </c>
      <c r="C54" s="78">
        <f t="shared" si="19"/>
        <v>56.666666666666664</v>
      </c>
      <c r="D54" s="91">
        <f t="shared" si="20"/>
        <v>680</v>
      </c>
    </row>
    <row r="55" spans="1:21" x14ac:dyDescent="0.3">
      <c r="A55" s="261">
        <v>180000</v>
      </c>
      <c r="C55" s="78">
        <f t="shared" si="19"/>
        <v>60</v>
      </c>
      <c r="D55" s="91">
        <f t="shared" si="20"/>
        <v>720</v>
      </c>
      <c r="I55">
        <v>40</v>
      </c>
    </row>
    <row r="56" spans="1:21" x14ac:dyDescent="0.3">
      <c r="A56" s="261">
        <v>190000</v>
      </c>
      <c r="C56" s="78">
        <f t="shared" si="19"/>
        <v>63.333333333333336</v>
      </c>
      <c r="D56" s="91">
        <f t="shared" si="20"/>
        <v>760</v>
      </c>
      <c r="I56">
        <v>12</v>
      </c>
    </row>
    <row r="57" spans="1:21" x14ac:dyDescent="0.3">
      <c r="A57" s="261">
        <v>200000</v>
      </c>
      <c r="C57" s="78">
        <f t="shared" si="19"/>
        <v>66.666666666666671</v>
      </c>
      <c r="D57" s="91">
        <f t="shared" si="20"/>
        <v>800</v>
      </c>
      <c r="I57">
        <v>500</v>
      </c>
    </row>
    <row r="58" spans="1:21" x14ac:dyDescent="0.3">
      <c r="A58" s="261">
        <v>300000</v>
      </c>
      <c r="B58" s="339">
        <f>T26</f>
        <v>150</v>
      </c>
      <c r="C58" s="78">
        <f t="shared" si="19"/>
        <v>100</v>
      </c>
      <c r="D58" s="91">
        <f t="shared" si="20"/>
        <v>1200</v>
      </c>
      <c r="I58">
        <f>I55*I56*I57</f>
        <v>240000</v>
      </c>
    </row>
    <row r="59" spans="1:21" x14ac:dyDescent="0.3">
      <c r="U59" s="345">
        <f>U41+U48*12</f>
        <v>16017860784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3"/>
  <sheetViews>
    <sheetView topLeftCell="A19" zoomScaleNormal="100" workbookViewId="0">
      <selection activeCell="C52" sqref="C52"/>
    </sheetView>
  </sheetViews>
  <sheetFormatPr defaultRowHeight="14.4" x14ac:dyDescent="0.3"/>
  <cols>
    <col min="1" max="1" width="2.6640625" style="2" customWidth="1"/>
    <col min="2" max="2" width="16.6640625" customWidth="1"/>
    <col min="3" max="3" width="9.6640625" style="6" customWidth="1"/>
    <col min="4" max="4" width="9.6640625" style="379" customWidth="1"/>
    <col min="5" max="6" width="2.6640625" style="105" customWidth="1"/>
    <col min="7" max="7" width="16.6640625" style="105" customWidth="1"/>
    <col min="8" max="8" width="9.6640625" style="105" customWidth="1"/>
    <col min="9" max="9" width="9.6640625" style="333" customWidth="1"/>
    <col min="10" max="11" width="2.6640625" style="105" customWidth="1"/>
  </cols>
  <sheetData>
    <row r="1" spans="1:10" s="105" customFormat="1" x14ac:dyDescent="0.3">
      <c r="A1" s="109"/>
      <c r="C1" s="354"/>
      <c r="D1" s="378"/>
      <c r="I1" s="333"/>
    </row>
    <row r="2" spans="1:10" s="105" customFormat="1" x14ac:dyDescent="0.3">
      <c r="A2" s="362" t="s">
        <v>918</v>
      </c>
      <c r="B2" s="363"/>
      <c r="C2" s="364">
        <f>SUM(C3)</f>
        <v>300</v>
      </c>
      <c r="D2" s="377">
        <f>SUM(D3)</f>
        <v>100</v>
      </c>
      <c r="F2" s="362" t="s">
        <v>939</v>
      </c>
      <c r="G2" s="363"/>
      <c r="H2" s="364">
        <f>SUM(H3:H4)</f>
        <v>1000</v>
      </c>
      <c r="I2" s="377">
        <f>SUM(I3:I4)</f>
        <v>990</v>
      </c>
    </row>
    <row r="3" spans="1:10" x14ac:dyDescent="0.3">
      <c r="A3" s="358"/>
      <c r="B3" s="359" t="s">
        <v>934</v>
      </c>
      <c r="C3" s="360">
        <f>U_Kuitti_yhteis2019!F73</f>
        <v>300</v>
      </c>
      <c r="D3" s="366">
        <v>100</v>
      </c>
      <c r="F3" s="358"/>
      <c r="G3" s="359" t="s">
        <v>931</v>
      </c>
      <c r="H3" s="360">
        <v>1000</v>
      </c>
      <c r="I3" s="366">
        <v>1000</v>
      </c>
    </row>
    <row r="4" spans="1:10" s="2" customFormat="1" x14ac:dyDescent="0.3">
      <c r="A4" s="109" t="s">
        <v>962</v>
      </c>
      <c r="B4" s="250"/>
      <c r="C4" s="375">
        <f>C2-D2</f>
        <v>200</v>
      </c>
      <c r="D4" s="387">
        <f>C4/D2</f>
        <v>2</v>
      </c>
      <c r="E4" s="250"/>
      <c r="F4" s="358"/>
      <c r="G4" s="359" t="s">
        <v>748</v>
      </c>
      <c r="H4" s="360">
        <v>0</v>
      </c>
      <c r="I4" s="366">
        <f>-Palkkataulukko!H16</f>
        <v>-10</v>
      </c>
      <c r="J4" s="250"/>
    </row>
    <row r="5" spans="1:10" s="2" customFormat="1" x14ac:dyDescent="0.3">
      <c r="A5" s="109"/>
      <c r="B5" s="105"/>
      <c r="C5" s="354"/>
      <c r="D5" s="378"/>
      <c r="E5" s="109"/>
      <c r="F5" s="109" t="s">
        <v>962</v>
      </c>
      <c r="G5" s="250"/>
      <c r="H5" s="375">
        <f>H2-I2</f>
        <v>10</v>
      </c>
      <c r="I5" s="387">
        <f>H5/I2</f>
        <v>1.0101010101010102E-2</v>
      </c>
      <c r="J5" s="109"/>
    </row>
    <row r="6" spans="1:10" x14ac:dyDescent="0.3">
      <c r="A6" s="362" t="s">
        <v>919</v>
      </c>
      <c r="B6" s="363"/>
      <c r="C6" s="364">
        <f>SUM(C7)</f>
        <v>110</v>
      </c>
      <c r="D6" s="377">
        <f>SUM(D7)</f>
        <v>100</v>
      </c>
    </row>
    <row r="7" spans="1:10" x14ac:dyDescent="0.3">
      <c r="A7" s="358"/>
      <c r="B7" s="359" t="s">
        <v>934</v>
      </c>
      <c r="C7" s="360">
        <f>U_Kuitti_yhteis2019!F74</f>
        <v>110</v>
      </c>
      <c r="D7" s="366">
        <v>100</v>
      </c>
      <c r="F7" s="362" t="s">
        <v>940</v>
      </c>
      <c r="G7" s="363"/>
      <c r="H7" s="364">
        <f>SUM(H8:H9)</f>
        <v>1500</v>
      </c>
      <c r="I7" s="377">
        <f>SUM(I8:I9)</f>
        <v>1410</v>
      </c>
    </row>
    <row r="8" spans="1:10" s="2" customFormat="1" x14ac:dyDescent="0.3">
      <c r="A8" s="109" t="s">
        <v>962</v>
      </c>
      <c r="B8" s="250"/>
      <c r="C8" s="375">
        <f>C6-D6</f>
        <v>10</v>
      </c>
      <c r="D8" s="387">
        <f>C8/D6</f>
        <v>0.1</v>
      </c>
      <c r="E8" s="250"/>
      <c r="F8" s="358"/>
      <c r="G8" s="359" t="s">
        <v>931</v>
      </c>
      <c r="H8" s="360">
        <v>1500</v>
      </c>
      <c r="I8" s="366">
        <v>1500</v>
      </c>
      <c r="J8" s="250"/>
    </row>
    <row r="9" spans="1:10" s="2" customFormat="1" x14ac:dyDescent="0.3">
      <c r="A9" s="109"/>
      <c r="B9" s="109"/>
      <c r="C9" s="109"/>
      <c r="D9" s="333"/>
      <c r="E9" s="109"/>
      <c r="F9" s="358"/>
      <c r="G9" s="359" t="s">
        <v>748</v>
      </c>
      <c r="H9" s="360">
        <v>0</v>
      </c>
      <c r="I9" s="366">
        <f>-Palkkataulukko!H18</f>
        <v>-90</v>
      </c>
      <c r="J9" s="109"/>
    </row>
    <row r="10" spans="1:10" s="2" customFormat="1" x14ac:dyDescent="0.3">
      <c r="A10" s="362" t="s">
        <v>920</v>
      </c>
      <c r="B10" s="363"/>
      <c r="C10" s="364">
        <f>SUM(C11)</f>
        <v>190</v>
      </c>
      <c r="D10" s="377">
        <f>SUM(D11)</f>
        <v>182.25</v>
      </c>
      <c r="E10" s="109"/>
      <c r="F10" s="109" t="s">
        <v>962</v>
      </c>
      <c r="G10" s="250"/>
      <c r="H10" s="375">
        <f>H7-I7</f>
        <v>90</v>
      </c>
      <c r="I10" s="387">
        <f>H10/I7</f>
        <v>6.3829787234042548E-2</v>
      </c>
      <c r="J10" s="109"/>
    </row>
    <row r="11" spans="1:10" x14ac:dyDescent="0.3">
      <c r="A11" s="358"/>
      <c r="B11" s="359" t="s">
        <v>934</v>
      </c>
      <c r="C11" s="360">
        <f>U_Kuitti_yhteis2019!F75</f>
        <v>190</v>
      </c>
      <c r="D11" s="366">
        <f>(9/12)*243</f>
        <v>182.25</v>
      </c>
    </row>
    <row r="12" spans="1:10" s="2" customFormat="1" x14ac:dyDescent="0.3">
      <c r="A12" s="109" t="s">
        <v>962</v>
      </c>
      <c r="B12" s="250"/>
      <c r="C12" s="375">
        <f>C10-D10</f>
        <v>7.75</v>
      </c>
      <c r="D12" s="387">
        <f>C12/D10</f>
        <v>4.2524005486968448E-2</v>
      </c>
      <c r="E12" s="250"/>
      <c r="F12" s="362" t="s">
        <v>941</v>
      </c>
      <c r="G12" s="363"/>
      <c r="H12" s="364">
        <f>SUM(H13:H14)</f>
        <v>2000</v>
      </c>
      <c r="I12" s="377">
        <f>SUM(I13:I14)</f>
        <v>1770</v>
      </c>
      <c r="J12" s="250"/>
    </row>
    <row r="13" spans="1:10" s="2" customFormat="1" x14ac:dyDescent="0.3">
      <c r="A13" s="109"/>
      <c r="B13" s="109"/>
      <c r="C13" s="109"/>
      <c r="D13" s="333"/>
      <c r="E13" s="250"/>
      <c r="F13" s="358"/>
      <c r="G13" s="359" t="s">
        <v>931</v>
      </c>
      <c r="H13" s="360">
        <v>2000</v>
      </c>
      <c r="I13" s="366">
        <f>H13</f>
        <v>2000</v>
      </c>
      <c r="J13" s="250"/>
    </row>
    <row r="14" spans="1:10" s="2" customFormat="1" x14ac:dyDescent="0.3">
      <c r="A14" s="362" t="s">
        <v>921</v>
      </c>
      <c r="B14" s="363"/>
      <c r="C14" s="364">
        <f>SUM(C15:C16)</f>
        <v>400</v>
      </c>
      <c r="D14" s="377">
        <f>SUM(D15:D16)</f>
        <v>185</v>
      </c>
      <c r="E14" s="109"/>
      <c r="F14" s="358"/>
      <c r="G14" s="359" t="s">
        <v>748</v>
      </c>
      <c r="H14" s="360">
        <v>0</v>
      </c>
      <c r="I14" s="366">
        <f>-Palkkataulukko!H20</f>
        <v>-230</v>
      </c>
      <c r="J14" s="109"/>
    </row>
    <row r="15" spans="1:10" s="2" customFormat="1" x14ac:dyDescent="0.3">
      <c r="A15" s="358"/>
      <c r="B15" s="359" t="s">
        <v>934</v>
      </c>
      <c r="C15" s="360">
        <f>U_Kuitti_yhteis2019!F76</f>
        <v>400</v>
      </c>
      <c r="D15" s="366">
        <v>231</v>
      </c>
      <c r="E15" s="109"/>
      <c r="F15" s="109" t="s">
        <v>962</v>
      </c>
      <c r="G15" s="250"/>
      <c r="H15" s="375">
        <f>H12-I12</f>
        <v>230</v>
      </c>
      <c r="I15" s="387">
        <f>H15/I12</f>
        <v>0.12994350282485875</v>
      </c>
      <c r="J15" s="109"/>
    </row>
    <row r="16" spans="1:10" s="2" customFormat="1" x14ac:dyDescent="0.3">
      <c r="A16" s="358"/>
      <c r="B16" s="359" t="s">
        <v>850</v>
      </c>
      <c r="C16" s="360">
        <v>0</v>
      </c>
      <c r="D16" s="366">
        <f>-2.3*20</f>
        <v>-46</v>
      </c>
      <c r="E16" s="109"/>
      <c r="F16" s="105"/>
      <c r="G16" s="105"/>
      <c r="H16" s="105"/>
      <c r="I16" s="333"/>
      <c r="J16" s="109"/>
    </row>
    <row r="17" spans="1:11" x14ac:dyDescent="0.3">
      <c r="A17" s="109" t="s">
        <v>962</v>
      </c>
      <c r="B17" s="250"/>
      <c r="C17" s="375">
        <f>C14-D14</f>
        <v>215</v>
      </c>
      <c r="D17" s="387">
        <f>C17/D14</f>
        <v>1.1621621621621621</v>
      </c>
      <c r="F17" s="362" t="s">
        <v>942</v>
      </c>
      <c r="G17" s="363"/>
      <c r="H17" s="364">
        <f>SUM(H18:H19)</f>
        <v>2500</v>
      </c>
      <c r="I17" s="377">
        <f>SUM(I18:I19)</f>
        <v>2112.5</v>
      </c>
    </row>
    <row r="18" spans="1:11" s="2" customFormat="1" x14ac:dyDescent="0.3">
      <c r="A18" s="109"/>
      <c r="B18" s="109"/>
      <c r="C18" s="109"/>
      <c r="D18" s="333"/>
      <c r="E18" s="250"/>
      <c r="F18" s="358"/>
      <c r="G18" s="359" t="s">
        <v>931</v>
      </c>
      <c r="H18" s="360">
        <v>2500</v>
      </c>
      <c r="I18" s="366">
        <f>H18</f>
        <v>2500</v>
      </c>
      <c r="J18" s="250"/>
    </row>
    <row r="19" spans="1:11" s="2" customFormat="1" x14ac:dyDescent="0.3">
      <c r="A19" s="362" t="s">
        <v>922</v>
      </c>
      <c r="B19" s="363"/>
      <c r="C19" s="364">
        <f>SUM(C20:C21)</f>
        <v>560</v>
      </c>
      <c r="D19" s="377">
        <f>SUM(D20:D21)</f>
        <v>557.6</v>
      </c>
      <c r="E19" s="109"/>
      <c r="F19" s="358"/>
      <c r="G19" s="359" t="s">
        <v>748</v>
      </c>
      <c r="H19" s="360">
        <v>0</v>
      </c>
      <c r="I19" s="366">
        <f>-Palkkataulukko!H22</f>
        <v>-387.5</v>
      </c>
      <c r="J19" s="109"/>
    </row>
    <row r="20" spans="1:11" s="2" customFormat="1" x14ac:dyDescent="0.3">
      <c r="A20" s="358"/>
      <c r="B20" s="359" t="s">
        <v>934</v>
      </c>
      <c r="C20" s="360">
        <f>U_Kuitti_yhteis2019!F77</f>
        <v>560</v>
      </c>
      <c r="D20" s="366">
        <v>697</v>
      </c>
      <c r="E20" s="109"/>
      <c r="F20" s="109" t="s">
        <v>962</v>
      </c>
      <c r="G20" s="250"/>
      <c r="H20" s="375">
        <f>H17-I17</f>
        <v>387.5</v>
      </c>
      <c r="I20" s="387">
        <f>H20/I17</f>
        <v>0.18343195266272189</v>
      </c>
      <c r="J20" s="109"/>
    </row>
    <row r="21" spans="1:11" s="2" customFormat="1" x14ac:dyDescent="0.3">
      <c r="A21" s="358"/>
      <c r="B21" s="359" t="s">
        <v>748</v>
      </c>
      <c r="C21" s="360">
        <v>0</v>
      </c>
      <c r="D21" s="366">
        <f>-D20*0.2</f>
        <v>-139.4</v>
      </c>
      <c r="E21" s="109"/>
      <c r="F21" s="105"/>
      <c r="G21" s="105"/>
      <c r="H21" s="105"/>
      <c r="I21" s="333"/>
      <c r="J21" s="109"/>
    </row>
    <row r="22" spans="1:11" x14ac:dyDescent="0.3">
      <c r="A22" s="109" t="s">
        <v>962</v>
      </c>
      <c r="B22" s="250"/>
      <c r="C22" s="375">
        <f>C19-D19</f>
        <v>2.3999999999999773</v>
      </c>
      <c r="D22" s="387">
        <f>C22/D19</f>
        <v>4.3041606886656692E-3</v>
      </c>
      <c r="F22" s="362" t="s">
        <v>943</v>
      </c>
      <c r="G22" s="363"/>
      <c r="H22" s="364">
        <f>SUM(H23:H24)</f>
        <v>3000</v>
      </c>
      <c r="I22" s="377">
        <f>SUM(I23:I24)</f>
        <v>2445</v>
      </c>
      <c r="K22" s="109"/>
    </row>
    <row r="23" spans="1:11" s="2" customFormat="1" x14ac:dyDescent="0.3">
      <c r="A23" s="109"/>
      <c r="B23" s="109"/>
      <c r="C23" s="109"/>
      <c r="D23" s="333"/>
      <c r="E23" s="250"/>
      <c r="F23" s="358"/>
      <c r="G23" s="359" t="s">
        <v>931</v>
      </c>
      <c r="H23" s="360">
        <v>3000</v>
      </c>
      <c r="I23" s="366">
        <f>H23</f>
        <v>3000</v>
      </c>
      <c r="J23" s="250"/>
      <c r="K23" s="109"/>
    </row>
    <row r="24" spans="1:11" s="2" customFormat="1" x14ac:dyDescent="0.3">
      <c r="A24" s="362" t="s">
        <v>923</v>
      </c>
      <c r="B24" s="363"/>
      <c r="C24" s="364">
        <f>SUM(C25:C26)</f>
        <v>700</v>
      </c>
      <c r="D24" s="377">
        <f>SUM(D25:D26)</f>
        <v>557.6</v>
      </c>
      <c r="E24" s="109"/>
      <c r="F24" s="358"/>
      <c r="G24" s="359" t="s">
        <v>748</v>
      </c>
      <c r="H24" s="360">
        <v>0</v>
      </c>
      <c r="I24" s="366">
        <f>-Palkkataulukko!H24</f>
        <v>-555</v>
      </c>
      <c r="J24" s="109"/>
      <c r="K24" s="109"/>
    </row>
    <row r="25" spans="1:11" s="2" customFormat="1" x14ac:dyDescent="0.3">
      <c r="A25" s="358"/>
      <c r="B25" s="359" t="s">
        <v>934</v>
      </c>
      <c r="C25" s="360">
        <f>U_Kuitti_yhteis2019!F78</f>
        <v>700</v>
      </c>
      <c r="D25" s="366">
        <f>D20</f>
        <v>697</v>
      </c>
      <c r="E25" s="109"/>
      <c r="F25" s="109" t="s">
        <v>962</v>
      </c>
      <c r="G25" s="250"/>
      <c r="H25" s="375">
        <f>H22-I22</f>
        <v>555</v>
      </c>
      <c r="I25" s="387">
        <f>H25/I22</f>
        <v>0.22699386503067484</v>
      </c>
      <c r="J25" s="109"/>
      <c r="K25" s="109"/>
    </row>
    <row r="26" spans="1:11" s="2" customFormat="1" x14ac:dyDescent="0.3">
      <c r="A26" s="358"/>
      <c r="B26" s="359" t="s">
        <v>748</v>
      </c>
      <c r="C26" s="360">
        <v>0</v>
      </c>
      <c r="D26" s="366">
        <f>-D25*0.2</f>
        <v>-139.4</v>
      </c>
      <c r="E26" s="109"/>
      <c r="F26" s="109"/>
      <c r="G26" s="109"/>
      <c r="H26" s="109"/>
      <c r="I26" s="333"/>
      <c r="J26" s="109"/>
      <c r="K26" s="109"/>
    </row>
    <row r="27" spans="1:11" s="2" customFormat="1" x14ac:dyDescent="0.3">
      <c r="A27" s="109" t="s">
        <v>962</v>
      </c>
      <c r="B27" s="250"/>
      <c r="C27" s="375">
        <f>C24-D24</f>
        <v>142.39999999999998</v>
      </c>
      <c r="D27" s="387">
        <f>C27/D24</f>
        <v>0.25538020086083207</v>
      </c>
      <c r="E27" s="109"/>
      <c r="F27" s="362" t="s">
        <v>944</v>
      </c>
      <c r="G27" s="363"/>
      <c r="H27" s="364">
        <f>SUM(H28:H29)</f>
        <v>3500</v>
      </c>
      <c r="I27" s="377">
        <f>SUM(I28:I29)</f>
        <v>2747.5</v>
      </c>
      <c r="J27" s="109"/>
      <c r="K27" s="109"/>
    </row>
    <row r="28" spans="1:11" s="2" customFormat="1" x14ac:dyDescent="0.3">
      <c r="A28" s="109"/>
      <c r="B28" s="109"/>
      <c r="C28" s="109"/>
      <c r="D28" s="333"/>
      <c r="E28" s="109"/>
      <c r="F28" s="358"/>
      <c r="G28" s="359" t="s">
        <v>931</v>
      </c>
      <c r="H28" s="360">
        <v>3500</v>
      </c>
      <c r="I28" s="366">
        <f>H28</f>
        <v>3500</v>
      </c>
      <c r="J28" s="109"/>
      <c r="K28" s="109"/>
    </row>
    <row r="29" spans="1:11" s="2" customFormat="1" x14ac:dyDescent="0.3">
      <c r="A29" s="362" t="s">
        <v>955</v>
      </c>
      <c r="B29" s="363"/>
      <c r="C29" s="364">
        <f>SUM(C30:C31)</f>
        <v>1434</v>
      </c>
      <c r="D29" s="377">
        <f>SUM(D30:D31)</f>
        <v>1226.07</v>
      </c>
      <c r="E29" s="109"/>
      <c r="F29" s="358"/>
      <c r="G29" s="359" t="s">
        <v>748</v>
      </c>
      <c r="H29" s="360">
        <v>0</v>
      </c>
      <c r="I29" s="366">
        <f>-Palkkataulukko!H26</f>
        <v>-752.5</v>
      </c>
      <c r="J29" s="109"/>
      <c r="K29" s="109"/>
    </row>
    <row r="30" spans="1:11" s="2" customFormat="1" x14ac:dyDescent="0.3">
      <c r="A30" s="358"/>
      <c r="B30" s="359" t="s">
        <v>931</v>
      </c>
      <c r="C30" s="360">
        <v>1434</v>
      </c>
      <c r="D30" s="366">
        <f>C30</f>
        <v>1434</v>
      </c>
      <c r="E30" s="109"/>
      <c r="F30" s="109" t="s">
        <v>962</v>
      </c>
      <c r="G30" s="250"/>
      <c r="H30" s="375">
        <f>H27-I27</f>
        <v>752.5</v>
      </c>
      <c r="I30" s="387">
        <f>H30/I27</f>
        <v>0.27388535031847133</v>
      </c>
      <c r="J30" s="109"/>
      <c r="K30" s="109"/>
    </row>
    <row r="31" spans="1:11" x14ac:dyDescent="0.3">
      <c r="A31" s="358"/>
      <c r="B31" s="359" t="s">
        <v>748</v>
      </c>
      <c r="C31" s="360">
        <v>0</v>
      </c>
      <c r="D31" s="366">
        <f>-D30*0.145</f>
        <v>-207.92999999999998</v>
      </c>
      <c r="F31" s="109"/>
      <c r="G31" s="109"/>
      <c r="H31" s="109"/>
      <c r="K31" s="109"/>
    </row>
    <row r="32" spans="1:11" s="2" customFormat="1" x14ac:dyDescent="0.3">
      <c r="A32" s="109" t="s">
        <v>962</v>
      </c>
      <c r="B32" s="250"/>
      <c r="C32" s="375">
        <f>C29-D29</f>
        <v>207.93000000000006</v>
      </c>
      <c r="D32" s="387">
        <f>C32/D29</f>
        <v>0.16959064327485388</v>
      </c>
      <c r="E32" s="250"/>
      <c r="F32" s="362" t="s">
        <v>945</v>
      </c>
      <c r="G32" s="363"/>
      <c r="H32" s="364">
        <f>SUM(H33:H34)</f>
        <v>4000</v>
      </c>
      <c r="I32" s="377">
        <f>SUM(I33:I34)</f>
        <v>3040</v>
      </c>
      <c r="J32" s="250"/>
      <c r="K32" s="109"/>
    </row>
    <row r="33" spans="1:11" s="2" customFormat="1" x14ac:dyDescent="0.3">
      <c r="A33" s="109"/>
      <c r="B33" s="109"/>
      <c r="C33" s="109"/>
      <c r="D33" s="333"/>
      <c r="E33" s="109"/>
      <c r="F33" s="358"/>
      <c r="G33" s="359" t="s">
        <v>931</v>
      </c>
      <c r="H33" s="360">
        <v>4000</v>
      </c>
      <c r="I33" s="366">
        <f>H33</f>
        <v>4000</v>
      </c>
      <c r="J33" s="109"/>
      <c r="K33" s="109"/>
    </row>
    <row r="34" spans="1:11" s="2" customFormat="1" x14ac:dyDescent="0.3">
      <c r="A34" s="362" t="s">
        <v>926</v>
      </c>
      <c r="B34" s="363"/>
      <c r="C34" s="364">
        <f>SUM(C35:C36)</f>
        <v>2300</v>
      </c>
      <c r="D34" s="377">
        <f>SUM(D35:D36)</f>
        <v>2282.5</v>
      </c>
      <c r="E34" s="109"/>
      <c r="F34" s="358"/>
      <c r="G34" s="359" t="s">
        <v>748</v>
      </c>
      <c r="H34" s="360">
        <v>0</v>
      </c>
      <c r="I34" s="366">
        <f>-Palkkataulukko!H28</f>
        <v>-960</v>
      </c>
      <c r="J34" s="109"/>
      <c r="K34" s="109"/>
    </row>
    <row r="35" spans="1:11" s="2" customFormat="1" x14ac:dyDescent="0.3">
      <c r="A35" s="358"/>
      <c r="B35" s="359" t="s">
        <v>931</v>
      </c>
      <c r="C35" s="360">
        <f>U_Kuitti_yhteis2019!F56</f>
        <v>2300</v>
      </c>
      <c r="D35" s="366">
        <v>2750</v>
      </c>
      <c r="E35" s="109"/>
      <c r="F35" s="109" t="s">
        <v>962</v>
      </c>
      <c r="G35" s="250"/>
      <c r="H35" s="375">
        <f>H32-I32</f>
        <v>960</v>
      </c>
      <c r="I35" s="387">
        <f>H35/I32</f>
        <v>0.31578947368421051</v>
      </c>
      <c r="J35" s="109"/>
      <c r="K35" s="109"/>
    </row>
    <row r="36" spans="1:11" s="2" customFormat="1" x14ac:dyDescent="0.3">
      <c r="A36" s="358"/>
      <c r="B36" s="359" t="s">
        <v>748</v>
      </c>
      <c r="C36" s="360">
        <v>0</v>
      </c>
      <c r="D36" s="366">
        <f>-Palkkataulukko!H23</f>
        <v>-467.5</v>
      </c>
      <c r="E36" s="109"/>
      <c r="F36" s="109"/>
      <c r="G36" s="109"/>
      <c r="H36" s="109"/>
      <c r="I36" s="333"/>
      <c r="J36" s="109"/>
      <c r="K36" s="109"/>
    </row>
    <row r="37" spans="1:11" s="2" customFormat="1" x14ac:dyDescent="0.3">
      <c r="A37" s="109" t="s">
        <v>962</v>
      </c>
      <c r="B37" s="250"/>
      <c r="C37" s="375">
        <f>C34-D34</f>
        <v>17.5</v>
      </c>
      <c r="D37" s="387">
        <f>C37/D34</f>
        <v>7.6670317634173054E-3</v>
      </c>
      <c r="E37" s="109"/>
      <c r="F37" s="362" t="s">
        <v>946</v>
      </c>
      <c r="G37" s="363"/>
      <c r="H37" s="364">
        <f>H38+H41+H42</f>
        <v>1960</v>
      </c>
      <c r="I37" s="377">
        <f>I38+I41+I42</f>
        <v>1554.85</v>
      </c>
      <c r="J37" s="109"/>
      <c r="K37" s="109"/>
    </row>
    <row r="38" spans="1:11" s="2" customFormat="1" x14ac:dyDescent="0.3">
      <c r="A38" s="105"/>
      <c r="B38" s="105"/>
      <c r="C38" s="105"/>
      <c r="D38" s="333"/>
      <c r="E38" s="109"/>
      <c r="F38" s="358"/>
      <c r="G38" s="359" t="s">
        <v>947</v>
      </c>
      <c r="H38" s="360">
        <f>SUM(H39:H40)</f>
        <v>1100</v>
      </c>
      <c r="I38" s="366">
        <f>SUM(I39:I40)</f>
        <v>892.25</v>
      </c>
      <c r="J38" s="109"/>
      <c r="K38" s="109"/>
    </row>
    <row r="39" spans="1:11" s="2" customFormat="1" x14ac:dyDescent="0.3">
      <c r="A39" s="362" t="s">
        <v>925</v>
      </c>
      <c r="B39" s="363"/>
      <c r="C39" s="364">
        <f>SUM(C40:C41)</f>
        <v>2750</v>
      </c>
      <c r="D39" s="377">
        <f>SUM(D40:D41)</f>
        <v>2747.5</v>
      </c>
      <c r="E39" s="109"/>
      <c r="F39" s="358"/>
      <c r="G39" s="374" t="s">
        <v>957</v>
      </c>
      <c r="H39" s="360">
        <v>700</v>
      </c>
      <c r="I39" s="366">
        <f>H39*0.98</f>
        <v>686</v>
      </c>
      <c r="J39" s="109"/>
      <c r="K39" s="109"/>
    </row>
    <row r="40" spans="1:11" x14ac:dyDescent="0.3">
      <c r="A40" s="358"/>
      <c r="B40" s="359" t="s">
        <v>931</v>
      </c>
      <c r="C40" s="360">
        <f>U_Kuitti_yhteis2019!F16</f>
        <v>2750</v>
      </c>
      <c r="D40" s="366">
        <v>3500</v>
      </c>
      <c r="F40" s="358"/>
      <c r="G40" s="374" t="s">
        <v>958</v>
      </c>
      <c r="H40" s="360">
        <f>C15</f>
        <v>400</v>
      </c>
      <c r="I40" s="366">
        <f>(9/12)*275</f>
        <v>206.25</v>
      </c>
    </row>
    <row r="41" spans="1:11" s="2" customFormat="1" x14ac:dyDescent="0.3">
      <c r="A41" s="358"/>
      <c r="B41" s="359" t="s">
        <v>748</v>
      </c>
      <c r="C41" s="360">
        <v>0</v>
      </c>
      <c r="D41" s="366">
        <f>-Palkkataulukko!H26</f>
        <v>-752.5</v>
      </c>
      <c r="E41" s="250"/>
      <c r="F41" s="358"/>
      <c r="G41" s="359" t="s">
        <v>948</v>
      </c>
      <c r="H41" s="360">
        <f>C20</f>
        <v>560</v>
      </c>
      <c r="I41" s="366">
        <f>D19</f>
        <v>557.6</v>
      </c>
      <c r="J41" s="250"/>
      <c r="K41" s="109"/>
    </row>
    <row r="42" spans="1:11" s="2" customFormat="1" x14ac:dyDescent="0.3">
      <c r="A42" s="109" t="s">
        <v>962</v>
      </c>
      <c r="B42" s="250"/>
      <c r="C42" s="375">
        <f>C39-D39</f>
        <v>2.5</v>
      </c>
      <c r="D42" s="387">
        <f>C42/D39</f>
        <v>9.099181073703367E-4</v>
      </c>
      <c r="E42" s="109"/>
      <c r="F42" s="358"/>
      <c r="G42" s="359" t="s">
        <v>950</v>
      </c>
      <c r="H42" s="360">
        <f>C2</f>
        <v>300</v>
      </c>
      <c r="I42" s="366">
        <v>105</v>
      </c>
      <c r="J42" s="109"/>
      <c r="K42" s="109"/>
    </row>
    <row r="43" spans="1:11" s="2" customFormat="1" x14ac:dyDescent="0.3">
      <c r="A43" s="105"/>
      <c r="B43" s="105"/>
      <c r="C43" s="105"/>
      <c r="D43" s="333"/>
      <c r="E43" s="109"/>
      <c r="F43" s="109" t="s">
        <v>962</v>
      </c>
      <c r="G43" s="250"/>
      <c r="H43" s="375">
        <f>H37-I37</f>
        <v>405.15000000000009</v>
      </c>
      <c r="I43" s="387">
        <f>H43/I37</f>
        <v>0.26057175933369786</v>
      </c>
      <c r="J43" s="109"/>
      <c r="K43" s="109"/>
    </row>
    <row r="44" spans="1:11" s="2" customFormat="1" x14ac:dyDescent="0.3">
      <c r="A44" s="362" t="s">
        <v>924</v>
      </c>
      <c r="B44" s="363"/>
      <c r="C44" s="364">
        <f>SUM(C45:C46)</f>
        <v>4250</v>
      </c>
      <c r="D44" s="377">
        <f>SUM(D45:D46)</f>
        <v>4230</v>
      </c>
      <c r="E44" s="109"/>
      <c r="F44" s="105"/>
      <c r="G44" s="105"/>
      <c r="H44" s="105"/>
      <c r="I44" s="333"/>
      <c r="J44" s="109"/>
      <c r="K44" s="109"/>
    </row>
    <row r="45" spans="1:11" s="2" customFormat="1" x14ac:dyDescent="0.3">
      <c r="A45" s="358"/>
      <c r="B45" s="359" t="s">
        <v>931</v>
      </c>
      <c r="C45" s="360">
        <f>U_Kuitti_yhteis2019!F4</f>
        <v>4250</v>
      </c>
      <c r="D45" s="366">
        <v>6000</v>
      </c>
      <c r="E45" s="109"/>
      <c r="F45" s="362" t="s">
        <v>946</v>
      </c>
      <c r="G45" s="363"/>
      <c r="H45" s="364">
        <f>SUM(H46:H48)</f>
        <v>2860</v>
      </c>
      <c r="I45" s="377">
        <f>SUM(I46:I48)</f>
        <v>2427.6</v>
      </c>
      <c r="J45" s="109"/>
      <c r="K45" s="109"/>
    </row>
    <row r="46" spans="1:11" s="2" customFormat="1" x14ac:dyDescent="0.3">
      <c r="A46" s="358"/>
      <c r="B46" s="359" t="s">
        <v>748</v>
      </c>
      <c r="C46" s="360">
        <v>0</v>
      </c>
      <c r="D46" s="366">
        <f>-Palkkataulukko!H36</f>
        <v>-1770</v>
      </c>
      <c r="E46" s="109"/>
      <c r="F46" s="358"/>
      <c r="G46" s="359" t="s">
        <v>947</v>
      </c>
      <c r="H46" s="360">
        <f>H12</f>
        <v>2000</v>
      </c>
      <c r="I46" s="366">
        <f>I12</f>
        <v>1770</v>
      </c>
      <c r="J46" s="109"/>
      <c r="K46" s="109"/>
    </row>
    <row r="47" spans="1:11" s="2" customFormat="1" x14ac:dyDescent="0.3">
      <c r="A47" s="109" t="s">
        <v>962</v>
      </c>
      <c r="B47" s="250"/>
      <c r="C47" s="375">
        <f>C44-D44</f>
        <v>20</v>
      </c>
      <c r="D47" s="387">
        <f>C47/D44</f>
        <v>4.7281323877068557E-3</v>
      </c>
      <c r="E47" s="109"/>
      <c r="F47" s="358"/>
      <c r="G47" s="359" t="s">
        <v>948</v>
      </c>
      <c r="H47" s="360">
        <f>C19</f>
        <v>560</v>
      </c>
      <c r="I47" s="366">
        <f>D19</f>
        <v>557.6</v>
      </c>
      <c r="J47" s="109"/>
      <c r="K47" s="109"/>
    </row>
    <row r="48" spans="1:11" s="2" customFormat="1" x14ac:dyDescent="0.3">
      <c r="A48" s="109"/>
      <c r="B48" s="105"/>
      <c r="C48" s="354"/>
      <c r="D48" s="378"/>
      <c r="E48" s="109"/>
      <c r="F48" s="358"/>
      <c r="G48" s="359" t="s">
        <v>950</v>
      </c>
      <c r="H48" s="360">
        <f>C2</f>
        <v>300</v>
      </c>
      <c r="I48" s="366">
        <f>D2</f>
        <v>100</v>
      </c>
      <c r="J48" s="109"/>
      <c r="K48" s="109"/>
    </row>
    <row r="49" spans="1:11" x14ac:dyDescent="0.3">
      <c r="A49" s="109"/>
      <c r="B49" s="105"/>
      <c r="C49" s="354"/>
      <c r="D49" s="378"/>
      <c r="F49" s="109" t="s">
        <v>962</v>
      </c>
      <c r="G49" s="250"/>
      <c r="H49" s="375">
        <f>H45-I45</f>
        <v>432.40000000000009</v>
      </c>
      <c r="I49" s="387">
        <f>H49/I45</f>
        <v>0.17811830614598786</v>
      </c>
    </row>
    <row r="50" spans="1:11" x14ac:dyDescent="0.3">
      <c r="A50" s="109"/>
      <c r="B50" s="105"/>
      <c r="C50" s="354"/>
      <c r="D50" s="378"/>
      <c r="F50" s="109"/>
      <c r="G50" s="250"/>
      <c r="H50" s="375"/>
      <c r="I50" s="387"/>
    </row>
    <row r="51" spans="1:11" s="2" customFormat="1" x14ac:dyDescent="0.3">
      <c r="A51" s="109"/>
      <c r="B51" s="105"/>
      <c r="C51" s="354"/>
      <c r="D51" s="378"/>
      <c r="E51" s="250"/>
      <c r="F51" s="362" t="s">
        <v>949</v>
      </c>
      <c r="G51" s="363"/>
      <c r="H51" s="364">
        <f>SUM(H52:H55)</f>
        <v>4410</v>
      </c>
      <c r="I51" s="377">
        <f>SUM(I52:I55)</f>
        <v>3722.5</v>
      </c>
      <c r="J51" s="250"/>
      <c r="K51" s="109"/>
    </row>
    <row r="52" spans="1:11" s="2" customFormat="1" x14ac:dyDescent="0.3">
      <c r="A52" s="109"/>
      <c r="B52" s="105"/>
      <c r="C52" s="354"/>
      <c r="D52" s="378"/>
      <c r="E52" s="109"/>
      <c r="F52" s="358"/>
      <c r="G52" s="359" t="s">
        <v>947</v>
      </c>
      <c r="H52" s="360">
        <f>H17</f>
        <v>2500</v>
      </c>
      <c r="I52" s="366">
        <f>I17</f>
        <v>2112.5</v>
      </c>
      <c r="J52" s="109"/>
      <c r="K52" s="109"/>
    </row>
    <row r="53" spans="1:11" s="2" customFormat="1" x14ac:dyDescent="0.3">
      <c r="A53" s="109"/>
      <c r="B53" s="105"/>
      <c r="C53" s="354"/>
      <c r="D53" s="378"/>
      <c r="E53" s="109"/>
      <c r="F53" s="358"/>
      <c r="G53" s="359" t="s">
        <v>948</v>
      </c>
      <c r="H53" s="360">
        <f>H7</f>
        <v>1500</v>
      </c>
      <c r="I53" s="366">
        <f>I7</f>
        <v>1410</v>
      </c>
      <c r="J53" s="109"/>
      <c r="K53" s="109"/>
    </row>
    <row r="54" spans="1:11" s="2" customFormat="1" x14ac:dyDescent="0.3">
      <c r="A54" s="109"/>
      <c r="B54" s="105"/>
      <c r="C54" s="354"/>
      <c r="D54" s="378"/>
      <c r="E54" s="109"/>
      <c r="F54" s="358"/>
      <c r="G54" s="359" t="s">
        <v>950</v>
      </c>
      <c r="H54" s="360">
        <f>C2</f>
        <v>300</v>
      </c>
      <c r="I54" s="366">
        <f>D2</f>
        <v>100</v>
      </c>
      <c r="J54" s="109"/>
      <c r="K54" s="109"/>
    </row>
    <row r="55" spans="1:11" s="2" customFormat="1" x14ac:dyDescent="0.3">
      <c r="A55" s="109"/>
      <c r="B55" s="105"/>
      <c r="C55" s="354"/>
      <c r="D55" s="378"/>
      <c r="E55" s="109"/>
      <c r="F55" s="358"/>
      <c r="G55" s="359" t="s">
        <v>951</v>
      </c>
      <c r="H55" s="360">
        <f>C6</f>
        <v>110</v>
      </c>
      <c r="I55" s="366">
        <f>D6</f>
        <v>100</v>
      </c>
      <c r="J55" s="109"/>
      <c r="K55" s="109"/>
    </row>
    <row r="56" spans="1:11" s="2" customFormat="1" x14ac:dyDescent="0.3">
      <c r="A56" s="109"/>
      <c r="B56" s="105"/>
      <c r="C56" s="354"/>
      <c r="D56" s="378"/>
      <c r="E56" s="109"/>
      <c r="F56" s="109" t="s">
        <v>962</v>
      </c>
      <c r="G56" s="250"/>
      <c r="H56" s="375">
        <f>H51-I51</f>
        <v>687.5</v>
      </c>
      <c r="I56" s="387">
        <f>H56/I51</f>
        <v>0.18468770987239758</v>
      </c>
      <c r="J56" s="109"/>
      <c r="K56" s="109"/>
    </row>
    <row r="57" spans="1:11" s="2" customFormat="1" x14ac:dyDescent="0.3">
      <c r="A57" s="109"/>
      <c r="B57" s="105"/>
      <c r="C57" s="354"/>
      <c r="D57" s="378"/>
      <c r="E57" s="109"/>
      <c r="F57" s="105"/>
      <c r="G57" s="105"/>
      <c r="H57" s="105"/>
      <c r="I57" s="333"/>
      <c r="J57" s="109"/>
      <c r="K57" s="109"/>
    </row>
    <row r="58" spans="1:11" s="2" customFormat="1" x14ac:dyDescent="0.3">
      <c r="A58" s="109"/>
      <c r="B58" s="105"/>
      <c r="C58" s="354"/>
      <c r="D58" s="378"/>
      <c r="E58" s="109"/>
      <c r="F58" s="362" t="s">
        <v>938</v>
      </c>
      <c r="G58" s="363"/>
      <c r="H58" s="373" t="s">
        <v>977</v>
      </c>
      <c r="I58" s="377"/>
      <c r="J58" s="109"/>
      <c r="K58" s="109"/>
    </row>
    <row r="59" spans="1:11" x14ac:dyDescent="0.3">
      <c r="A59" s="109"/>
      <c r="B59" s="105"/>
      <c r="C59" s="354"/>
      <c r="D59" s="378"/>
      <c r="F59" s="358"/>
      <c r="G59" s="359" t="s">
        <v>1</v>
      </c>
      <c r="H59" s="368">
        <v>0.18</v>
      </c>
      <c r="I59" s="380">
        <v>0.2</v>
      </c>
    </row>
    <row r="60" spans="1:11" s="2" customFormat="1" x14ac:dyDescent="0.3">
      <c r="A60" s="109"/>
      <c r="B60" s="105"/>
      <c r="C60" s="354"/>
      <c r="D60" s="378"/>
      <c r="E60" s="250"/>
      <c r="F60" s="109"/>
      <c r="G60" s="409" t="s">
        <v>979</v>
      </c>
      <c r="H60" s="109"/>
      <c r="I60" s="333"/>
      <c r="J60" s="250"/>
      <c r="K60" s="109"/>
    </row>
    <row r="61" spans="1:11" s="2" customFormat="1" x14ac:dyDescent="0.3">
      <c r="A61" s="109"/>
      <c r="B61" s="105"/>
      <c r="C61" s="354"/>
      <c r="D61" s="378"/>
      <c r="E61" s="109"/>
      <c r="F61" s="109"/>
      <c r="G61" s="109"/>
      <c r="H61" s="109"/>
      <c r="I61" s="333"/>
      <c r="J61" s="109"/>
      <c r="K61" s="109"/>
    </row>
    <row r="62" spans="1:11" s="2" customFormat="1" x14ac:dyDescent="0.3">
      <c r="A62" s="109"/>
      <c r="B62" s="105"/>
      <c r="C62" s="354"/>
      <c r="D62" s="378"/>
      <c r="E62" s="109"/>
      <c r="F62" s="109"/>
      <c r="G62" s="109"/>
      <c r="H62" s="109"/>
      <c r="I62" s="333"/>
      <c r="J62" s="109"/>
      <c r="K62" s="109"/>
    </row>
    <row r="63" spans="1:11" s="2" customFormat="1" x14ac:dyDescent="0.3">
      <c r="A63" s="109"/>
      <c r="B63" s="105"/>
      <c r="C63" s="354"/>
      <c r="D63" s="378"/>
      <c r="E63" s="109"/>
      <c r="F63" s="109"/>
      <c r="G63" s="109"/>
      <c r="H63" s="109"/>
      <c r="I63" s="333"/>
      <c r="J63" s="109"/>
      <c r="K63" s="109"/>
    </row>
    <row r="64" spans="1:11" s="2" customFormat="1" x14ac:dyDescent="0.3">
      <c r="A64" s="109"/>
      <c r="B64" s="105"/>
      <c r="C64" s="354"/>
      <c r="D64" s="378"/>
      <c r="E64" s="109"/>
      <c r="F64" s="109"/>
      <c r="G64" s="109"/>
      <c r="H64" s="109"/>
      <c r="I64" s="333"/>
      <c r="J64" s="109"/>
      <c r="K64" s="109"/>
    </row>
    <row r="65" spans="1:11" s="2" customFormat="1" x14ac:dyDescent="0.3">
      <c r="A65" s="109"/>
      <c r="B65" s="105"/>
      <c r="C65" s="354"/>
      <c r="D65" s="378"/>
      <c r="E65" s="109"/>
      <c r="F65" s="109"/>
      <c r="G65" s="109"/>
      <c r="H65" s="109"/>
      <c r="I65" s="333"/>
      <c r="J65" s="109"/>
      <c r="K65" s="109"/>
    </row>
    <row r="66" spans="1:11" s="2" customFormat="1" x14ac:dyDescent="0.3">
      <c r="A66" s="109"/>
      <c r="B66" s="105"/>
      <c r="C66" s="354"/>
      <c r="D66" s="378"/>
      <c r="E66" s="109"/>
      <c r="F66" s="109"/>
      <c r="G66" s="109"/>
      <c r="H66" s="109"/>
      <c r="I66" s="333"/>
      <c r="J66" s="109"/>
      <c r="K66" s="109"/>
    </row>
    <row r="67" spans="1:11" s="2" customFormat="1" x14ac:dyDescent="0.3">
      <c r="A67" s="109"/>
      <c r="B67" s="105"/>
      <c r="C67" s="354"/>
      <c r="D67" s="378"/>
      <c r="E67" s="109"/>
      <c r="F67" s="109"/>
      <c r="G67" s="109"/>
      <c r="H67" s="109"/>
      <c r="I67" s="333"/>
      <c r="J67" s="109"/>
      <c r="K67" s="109"/>
    </row>
    <row r="68" spans="1:11" x14ac:dyDescent="0.3">
      <c r="A68" s="109"/>
      <c r="B68" s="105"/>
      <c r="C68" s="354"/>
      <c r="D68" s="378"/>
    </row>
    <row r="69" spans="1:11" s="2" customFormat="1" x14ac:dyDescent="0.3">
      <c r="A69" s="109"/>
      <c r="B69" s="105"/>
      <c r="C69" s="354"/>
      <c r="D69" s="378"/>
      <c r="E69" s="250"/>
      <c r="F69" s="109"/>
      <c r="G69" s="250"/>
      <c r="H69" s="109"/>
      <c r="I69" s="333"/>
      <c r="J69" s="250"/>
      <c r="K69" s="109"/>
    </row>
    <row r="70" spans="1:11" s="2" customFormat="1" x14ac:dyDescent="0.3">
      <c r="A70" s="109"/>
      <c r="B70" s="105"/>
      <c r="C70" s="354"/>
      <c r="D70" s="378"/>
      <c r="E70" s="109"/>
      <c r="F70" s="109"/>
      <c r="G70" s="109"/>
      <c r="H70" s="109"/>
      <c r="I70" s="333"/>
      <c r="J70" s="109"/>
      <c r="K70" s="109"/>
    </row>
    <row r="71" spans="1:11" s="2" customFormat="1" x14ac:dyDescent="0.3">
      <c r="A71" s="109"/>
      <c r="B71" s="105"/>
      <c r="C71" s="354"/>
      <c r="D71" s="378"/>
      <c r="E71" s="109"/>
      <c r="F71" s="109"/>
      <c r="G71" s="109"/>
      <c r="H71" s="109"/>
      <c r="I71" s="333"/>
      <c r="J71" s="109"/>
      <c r="K71" s="109"/>
    </row>
    <row r="72" spans="1:11" s="2" customFormat="1" x14ac:dyDescent="0.3">
      <c r="A72" s="109"/>
      <c r="B72" s="105"/>
      <c r="C72" s="354"/>
      <c r="D72" s="378"/>
      <c r="E72" s="109"/>
      <c r="F72" s="109"/>
      <c r="G72" s="109"/>
      <c r="H72" s="109"/>
      <c r="I72" s="333"/>
      <c r="J72" s="109"/>
      <c r="K72" s="109"/>
    </row>
    <row r="73" spans="1:11" x14ac:dyDescent="0.3">
      <c r="A73" s="109"/>
      <c r="B73" s="105"/>
      <c r="C73" s="354"/>
      <c r="D73" s="378"/>
    </row>
    <row r="74" spans="1:11" s="2" customFormat="1" x14ac:dyDescent="0.3">
      <c r="D74" s="5"/>
      <c r="E74" s="250"/>
      <c r="F74" s="109"/>
      <c r="G74" s="250"/>
      <c r="H74" s="109"/>
      <c r="I74" s="333"/>
      <c r="J74" s="250"/>
      <c r="K74" s="109"/>
    </row>
    <row r="75" spans="1:11" s="2" customFormat="1" x14ac:dyDescent="0.3">
      <c r="D75" s="5"/>
      <c r="E75" s="109"/>
      <c r="F75" s="109"/>
      <c r="G75" s="109"/>
      <c r="H75" s="109"/>
      <c r="I75" s="333"/>
      <c r="J75" s="109"/>
      <c r="K75" s="109"/>
    </row>
    <row r="76" spans="1:11" x14ac:dyDescent="0.3">
      <c r="A76" s="109"/>
      <c r="B76" s="105"/>
      <c r="C76" s="354"/>
      <c r="D76" s="378"/>
    </row>
    <row r="77" spans="1:11" x14ac:dyDescent="0.3">
      <c r="A77" s="109"/>
      <c r="B77" s="105"/>
      <c r="C77" s="354"/>
      <c r="D77" s="378"/>
    </row>
    <row r="78" spans="1:11" x14ac:dyDescent="0.3">
      <c r="A78" s="109"/>
      <c r="B78" s="105"/>
      <c r="C78" s="354"/>
      <c r="D78" s="378"/>
    </row>
    <row r="79" spans="1:11" x14ac:dyDescent="0.3">
      <c r="A79" s="109"/>
      <c r="B79" s="105"/>
      <c r="C79" s="354"/>
      <c r="D79" s="378"/>
    </row>
    <row r="80" spans="1:11" x14ac:dyDescent="0.3">
      <c r="A80" s="109"/>
      <c r="B80" s="105"/>
      <c r="C80" s="354"/>
      <c r="D80" s="378"/>
    </row>
    <row r="81" spans="1:4" x14ac:dyDescent="0.3">
      <c r="A81" s="109"/>
      <c r="B81" s="105"/>
      <c r="C81" s="354"/>
      <c r="D81" s="378"/>
    </row>
    <row r="82" spans="1:4" x14ac:dyDescent="0.3">
      <c r="A82" s="109"/>
      <c r="B82" s="105"/>
      <c r="C82" s="354"/>
      <c r="D82" s="378"/>
    </row>
    <row r="83" spans="1:4" x14ac:dyDescent="0.3">
      <c r="A83" s="109"/>
      <c r="B83" s="105"/>
      <c r="C83" s="354"/>
      <c r="D83" s="378"/>
    </row>
  </sheetData>
  <pageMargins left="0.25" right="0.25" top="0.75" bottom="0.75" header="0.3" footer="0.3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5"/>
  <sheetViews>
    <sheetView topLeftCell="A10" workbookViewId="0">
      <selection activeCell="E22" sqref="E22"/>
    </sheetView>
  </sheetViews>
  <sheetFormatPr defaultRowHeight="14.4" x14ac:dyDescent="0.3"/>
  <cols>
    <col min="1" max="1" width="57.44140625" bestFit="1" customWidth="1"/>
    <col min="2" max="2" width="2" bestFit="1" customWidth="1"/>
    <col min="3" max="3" width="19.44140625" bestFit="1" customWidth="1"/>
    <col min="4" max="4" width="11.33203125" bestFit="1" customWidth="1"/>
    <col min="5" max="5" width="11.44140625" bestFit="1" customWidth="1"/>
    <col min="6" max="6" width="17.44140625" bestFit="1" customWidth="1"/>
    <col min="7" max="7" width="9.6640625" bestFit="1" customWidth="1"/>
    <col min="8" max="8" width="16.6640625" bestFit="1" customWidth="1"/>
    <col min="9" max="9" width="12.33203125" style="6" bestFit="1" customWidth="1"/>
    <col min="10" max="10" width="18" style="6" bestFit="1" customWidth="1"/>
    <col min="11" max="11" width="12.33203125" style="6" bestFit="1" customWidth="1"/>
    <col min="12" max="13" width="10.88671875" style="6" bestFit="1" customWidth="1"/>
    <col min="14" max="14" width="13.5546875" style="6" bestFit="1" customWidth="1"/>
    <col min="15" max="15" width="15.5546875" style="6" bestFit="1" customWidth="1"/>
    <col min="16" max="17" width="15.5546875" style="6" customWidth="1"/>
    <col min="18" max="18" width="13.5546875" style="6" customWidth="1"/>
    <col min="19" max="19" width="10.5546875" style="6" bestFit="1" customWidth="1"/>
  </cols>
  <sheetData>
    <row r="1" spans="1:19" x14ac:dyDescent="0.3">
      <c r="A1" t="s">
        <v>754</v>
      </c>
      <c r="C1" s="77">
        <f>C2/D2</f>
        <v>4158859.3750000005</v>
      </c>
      <c r="H1">
        <v>1.5</v>
      </c>
    </row>
    <row r="2" spans="1:19" x14ac:dyDescent="0.3">
      <c r="A2" t="s">
        <v>755</v>
      </c>
      <c r="C2" s="77">
        <v>2927837</v>
      </c>
      <c r="D2" s="11">
        <v>0.70399999999999996</v>
      </c>
      <c r="H2">
        <v>54</v>
      </c>
    </row>
    <row r="3" spans="1:19" x14ac:dyDescent="0.3">
      <c r="A3" t="s">
        <v>756</v>
      </c>
      <c r="C3" s="57">
        <f>C23+C24</f>
        <v>504984</v>
      </c>
      <c r="D3" s="11">
        <f>C3/C2</f>
        <v>0.17247681479535917</v>
      </c>
      <c r="H3">
        <f>H1/H2</f>
        <v>2.7777777777777776E-2</v>
      </c>
    </row>
    <row r="5" spans="1:19" x14ac:dyDescent="0.3">
      <c r="E5" t="s">
        <v>9</v>
      </c>
      <c r="F5">
        <v>1860</v>
      </c>
    </row>
    <row r="6" spans="1:19" x14ac:dyDescent="0.3">
      <c r="A6" t="s">
        <v>720</v>
      </c>
      <c r="C6" s="58">
        <f>C9/$C$25</f>
        <v>6390.0690472955448</v>
      </c>
      <c r="D6" s="63">
        <f>C6/12</f>
        <v>532.50575394129544</v>
      </c>
      <c r="E6" s="58"/>
      <c r="F6" s="58"/>
      <c r="G6" s="63">
        <f>H6/12</f>
        <v>1309.9542435059723</v>
      </c>
      <c r="H6" s="58">
        <f>$H$9/C25</f>
        <v>15719.450922071668</v>
      </c>
      <c r="I6" s="58">
        <f>I9/$C$25</f>
        <v>1944.2433824528464</v>
      </c>
      <c r="J6" s="58">
        <f t="shared" ref="J6:S6" si="0">J9/$C$25</f>
        <v>650.04755493521407</v>
      </c>
      <c r="K6" s="58">
        <f t="shared" si="0"/>
        <v>2166.8251831173802</v>
      </c>
      <c r="L6" s="58">
        <f t="shared" si="0"/>
        <v>325.02377746760703</v>
      </c>
      <c r="M6" s="58">
        <f t="shared" si="0"/>
        <v>162.51188873380352</v>
      </c>
      <c r="N6" s="58">
        <f t="shared" si="0"/>
        <v>790.52359836460425</v>
      </c>
      <c r="O6" s="58">
        <f t="shared" si="0"/>
        <v>5.9289269877345321</v>
      </c>
      <c r="P6" s="58">
        <f t="shared" si="0"/>
        <v>0</v>
      </c>
      <c r="Q6" s="58">
        <f t="shared" si="0"/>
        <v>135.42657394483626</v>
      </c>
      <c r="R6" s="58">
        <f t="shared" si="0"/>
        <v>135.42657394483626</v>
      </c>
      <c r="S6" s="58">
        <f t="shared" si="0"/>
        <v>74.111587346681659</v>
      </c>
    </row>
    <row r="7" spans="1:19" x14ac:dyDescent="0.3">
      <c r="A7" t="s">
        <v>719</v>
      </c>
      <c r="C7" s="58">
        <f>C9/$C$26</f>
        <v>5071.8980392156864</v>
      </c>
      <c r="D7" s="63">
        <f t="shared" ref="D7:D8" si="1">C7/12</f>
        <v>422.65816993464051</v>
      </c>
      <c r="E7" s="58"/>
      <c r="F7" s="58"/>
      <c r="G7" s="63">
        <f t="shared" ref="G7:G8" si="2">H7/12</f>
        <v>1039.731231372549</v>
      </c>
      <c r="H7" s="58">
        <f>$H$9/C26</f>
        <v>12476.774776470589</v>
      </c>
      <c r="I7" s="58">
        <f>I9/$C$26</f>
        <v>1543.1764705882354</v>
      </c>
      <c r="J7" s="58">
        <f t="shared" ref="J7:S7" si="3">J9/$C$26</f>
        <v>515.95294117647063</v>
      </c>
      <c r="K7" s="58">
        <f t="shared" si="3"/>
        <v>1719.8431372549019</v>
      </c>
      <c r="L7" s="58">
        <f t="shared" si="3"/>
        <v>257.97647058823532</v>
      </c>
      <c r="M7" s="58">
        <f t="shared" si="3"/>
        <v>128.98823529411766</v>
      </c>
      <c r="N7" s="58">
        <f t="shared" si="3"/>
        <v>627.45098039215691</v>
      </c>
      <c r="O7" s="58">
        <f t="shared" si="3"/>
        <v>4.7058823529411766</v>
      </c>
      <c r="P7" s="58">
        <f t="shared" si="3"/>
        <v>0</v>
      </c>
      <c r="Q7" s="58">
        <f t="shared" si="3"/>
        <v>107.49019607843137</v>
      </c>
      <c r="R7" s="58">
        <f t="shared" si="3"/>
        <v>107.49019607843137</v>
      </c>
      <c r="S7" s="58">
        <f t="shared" si="3"/>
        <v>58.823529411764703</v>
      </c>
    </row>
    <row r="8" spans="1:19" x14ac:dyDescent="0.3">
      <c r="A8" t="s">
        <v>718</v>
      </c>
      <c r="C8" s="58">
        <f>C9/$C$14</f>
        <v>2264.8680043779641</v>
      </c>
      <c r="D8" s="63">
        <f t="shared" si="1"/>
        <v>188.73900036483033</v>
      </c>
      <c r="E8" s="58"/>
      <c r="F8" s="58"/>
      <c r="G8" s="63">
        <f t="shared" si="2"/>
        <v>464.29442801897125</v>
      </c>
      <c r="H8" s="58">
        <f>$H$9/C14</f>
        <v>5571.5331362276547</v>
      </c>
      <c r="I8" s="58">
        <f t="shared" ref="I8:S8" si="4">I9/$C$14</f>
        <v>689.10908427581171</v>
      </c>
      <c r="J8" s="58">
        <f t="shared" si="4"/>
        <v>230.4</v>
      </c>
      <c r="K8" s="58">
        <f t="shared" si="4"/>
        <v>768</v>
      </c>
      <c r="L8" s="58">
        <f t="shared" si="4"/>
        <v>115.2</v>
      </c>
      <c r="M8" s="58">
        <f t="shared" si="4"/>
        <v>57.6</v>
      </c>
      <c r="N8" s="58">
        <f t="shared" si="4"/>
        <v>280.1897117840204</v>
      </c>
      <c r="O8" s="58">
        <f t="shared" si="4"/>
        <v>2.1014228383801532</v>
      </c>
      <c r="P8" s="58">
        <f t="shared" si="4"/>
        <v>0</v>
      </c>
      <c r="Q8" s="58">
        <f t="shared" si="4"/>
        <v>48</v>
      </c>
      <c r="R8" s="58">
        <f t="shared" si="4"/>
        <v>48</v>
      </c>
      <c r="S8" s="58">
        <f t="shared" si="4"/>
        <v>26.267785479751915</v>
      </c>
    </row>
    <row r="9" spans="1:19" x14ac:dyDescent="0.3">
      <c r="C9" s="62">
        <f>SUM(I9:S9)</f>
        <v>12416006400</v>
      </c>
      <c r="D9" s="57"/>
      <c r="E9" s="57"/>
      <c r="F9" s="346"/>
      <c r="G9" s="57"/>
      <c r="H9" s="62">
        <f>(H23+H24)*A10</f>
        <v>30543144652.800003</v>
      </c>
      <c r="I9" s="56">
        <f>I12*I10</f>
        <v>3777696000</v>
      </c>
      <c r="J9" s="56">
        <f>J12*J10</f>
        <v>1263052800</v>
      </c>
      <c r="K9" s="56">
        <f>K12*K10</f>
        <v>4210176000</v>
      </c>
      <c r="L9" s="56">
        <f t="shared" ref="L9:R9" si="5">L12*L10</f>
        <v>631526400</v>
      </c>
      <c r="M9" s="56">
        <f t="shared" si="5"/>
        <v>315763200</v>
      </c>
      <c r="N9" s="56">
        <f t="shared" si="5"/>
        <v>1536000000</v>
      </c>
      <c r="O9" s="56">
        <f t="shared" si="5"/>
        <v>11520000</v>
      </c>
      <c r="P9" s="56"/>
      <c r="Q9" s="56">
        <f t="shared" si="5"/>
        <v>263136000</v>
      </c>
      <c r="R9" s="56">
        <f t="shared" si="5"/>
        <v>263136000</v>
      </c>
      <c r="S9" s="56">
        <f>S12*S10</f>
        <v>144000000</v>
      </c>
    </row>
    <row r="10" spans="1:19" x14ac:dyDescent="0.3">
      <c r="A10">
        <v>1.6</v>
      </c>
      <c r="C10" s="55"/>
      <c r="D10" s="55"/>
      <c r="E10" s="55"/>
      <c r="F10" s="55"/>
      <c r="G10" s="55"/>
      <c r="H10" s="55"/>
      <c r="I10" s="56">
        <f>I11*$A$10*12</f>
        <v>57600</v>
      </c>
      <c r="J10" s="56">
        <f t="shared" ref="J10:S10" si="6">J11*$A$10*12</f>
        <v>57600</v>
      </c>
      <c r="K10" s="56">
        <f t="shared" si="6"/>
        <v>38400</v>
      </c>
      <c r="L10" s="56">
        <f t="shared" si="6"/>
        <v>57600</v>
      </c>
      <c r="M10" s="56">
        <f t="shared" si="6"/>
        <v>57600</v>
      </c>
      <c r="N10" s="56">
        <f t="shared" si="6"/>
        <v>38400</v>
      </c>
      <c r="O10" s="56">
        <f t="shared" si="6"/>
        <v>57600</v>
      </c>
      <c r="P10" s="56">
        <f t="shared" si="6"/>
        <v>0</v>
      </c>
      <c r="Q10" s="56">
        <f t="shared" si="6"/>
        <v>48000</v>
      </c>
      <c r="R10" s="56">
        <f t="shared" si="6"/>
        <v>48000</v>
      </c>
      <c r="S10" s="56">
        <f t="shared" si="6"/>
        <v>48000</v>
      </c>
    </row>
    <row r="11" spans="1:19" x14ac:dyDescent="0.3">
      <c r="A11" s="62">
        <f>V_tulot!G23+V_tulot!G28+V_tulot!G25</f>
        <v>26580000000</v>
      </c>
      <c r="C11" s="55"/>
      <c r="D11" s="55"/>
      <c r="E11" s="55"/>
      <c r="F11" s="55"/>
      <c r="G11" s="55"/>
      <c r="H11" s="55"/>
      <c r="I11" s="6">
        <v>3000</v>
      </c>
      <c r="J11" s="56">
        <v>3000</v>
      </c>
      <c r="K11" s="56">
        <v>2000</v>
      </c>
      <c r="L11" s="6">
        <v>3000</v>
      </c>
      <c r="M11" s="6">
        <v>3000</v>
      </c>
      <c r="N11" s="6">
        <v>2000</v>
      </c>
      <c r="O11" s="6">
        <v>3000</v>
      </c>
      <c r="Q11" s="6">
        <v>2500</v>
      </c>
      <c r="R11" s="6">
        <v>2500</v>
      </c>
      <c r="S11" s="6">
        <v>2500</v>
      </c>
    </row>
    <row r="12" spans="1:19" x14ac:dyDescent="0.3">
      <c r="C12" s="55">
        <f>SUM(I12:S12)</f>
        <v>267763</v>
      </c>
      <c r="D12" s="55"/>
      <c r="E12" s="55"/>
      <c r="F12" s="55"/>
      <c r="G12" s="55"/>
      <c r="H12" s="55"/>
      <c r="I12" s="56">
        <f>(C17+C21+C18)/SUM(I14:I28)</f>
        <v>65585</v>
      </c>
      <c r="J12" s="56">
        <f>$C$14/SUM(J14:J28)</f>
        <v>21928</v>
      </c>
      <c r="K12" s="56">
        <f>$C$14/SUM(K14:K28)</f>
        <v>109640</v>
      </c>
      <c r="L12" s="56">
        <f>$C$14/SUM(L14:L28)</f>
        <v>10964</v>
      </c>
      <c r="M12" s="56">
        <f>$C$14/SUM(M14:M28)</f>
        <v>5482</v>
      </c>
      <c r="N12" s="56">
        <f>C20/SUM(N14:N28)</f>
        <v>40000</v>
      </c>
      <c r="O12" s="56">
        <v>200</v>
      </c>
      <c r="P12" s="56"/>
      <c r="Q12" s="56">
        <f>$C$14/SUM(Q14:Q26)</f>
        <v>5482</v>
      </c>
      <c r="R12" s="56">
        <f>$C$14/SUM(R14:R26)</f>
        <v>5482</v>
      </c>
      <c r="S12" s="56">
        <v>3000</v>
      </c>
    </row>
    <row r="13" spans="1:19" x14ac:dyDescent="0.3">
      <c r="C13" s="55"/>
      <c r="D13" s="55"/>
      <c r="E13" s="55"/>
      <c r="F13" s="55"/>
      <c r="G13" s="55"/>
      <c r="H13" s="55">
        <f>H14-H16</f>
        <v>649020000</v>
      </c>
      <c r="I13" s="6" t="s">
        <v>701</v>
      </c>
      <c r="J13" s="6" t="s">
        <v>702</v>
      </c>
      <c r="K13" s="6" t="s">
        <v>703</v>
      </c>
      <c r="L13" s="6" t="s">
        <v>704</v>
      </c>
      <c r="M13" s="6" t="s">
        <v>705</v>
      </c>
      <c r="N13" s="6" t="s">
        <v>706</v>
      </c>
      <c r="O13" s="6" t="s">
        <v>717</v>
      </c>
      <c r="Q13" s="6" t="s">
        <v>722</v>
      </c>
      <c r="R13" s="6" t="s">
        <v>723</v>
      </c>
      <c r="S13" s="6" t="s">
        <v>708</v>
      </c>
    </row>
    <row r="14" spans="1:19" x14ac:dyDescent="0.3">
      <c r="A14" t="s">
        <v>8</v>
      </c>
      <c r="B14" t="s">
        <v>709</v>
      </c>
      <c r="C14" s="55">
        <v>5482000</v>
      </c>
      <c r="D14" s="55"/>
      <c r="E14" s="57">
        <f>C14-C26</f>
        <v>3034000</v>
      </c>
      <c r="F14" s="55">
        <v>250</v>
      </c>
      <c r="G14" s="55"/>
      <c r="H14" s="55">
        <f>E14*F14*12</f>
        <v>9102000000</v>
      </c>
      <c r="I14" s="68">
        <v>20</v>
      </c>
      <c r="J14" s="68">
        <v>250</v>
      </c>
      <c r="K14" s="68">
        <v>50</v>
      </c>
      <c r="L14" s="68">
        <v>500</v>
      </c>
      <c r="M14" s="68">
        <v>1000</v>
      </c>
      <c r="N14" s="68">
        <v>10</v>
      </c>
      <c r="O14" s="68">
        <f>C14/O12</f>
        <v>27410</v>
      </c>
      <c r="P14" s="56"/>
      <c r="Q14" s="68">
        <v>1000</v>
      </c>
      <c r="R14" s="68">
        <v>1000</v>
      </c>
      <c r="S14" s="68">
        <f>C14/S12</f>
        <v>1827.3333333333333</v>
      </c>
    </row>
    <row r="15" spans="1:19" x14ac:dyDescent="0.3">
      <c r="A15" t="s">
        <v>916</v>
      </c>
      <c r="C15" s="55">
        <v>247968</v>
      </c>
      <c r="D15" s="55"/>
      <c r="E15" s="57"/>
      <c r="F15" s="55"/>
      <c r="G15" s="55"/>
      <c r="H15" s="55"/>
      <c r="I15" s="68"/>
      <c r="J15" s="68"/>
      <c r="K15" s="68"/>
      <c r="L15" s="68"/>
      <c r="M15" s="68"/>
      <c r="N15" s="68"/>
      <c r="O15" s="68"/>
      <c r="P15" s="56"/>
      <c r="Q15" s="68"/>
      <c r="R15" s="68"/>
      <c r="S15" s="68"/>
    </row>
    <row r="16" spans="1:19" x14ac:dyDescent="0.3">
      <c r="A16" t="s">
        <v>695</v>
      </c>
      <c r="B16" t="s">
        <v>712</v>
      </c>
      <c r="C16" s="55">
        <v>1056000</v>
      </c>
      <c r="D16" s="55"/>
      <c r="E16" s="55">
        <f>SUM(E17:E21)</f>
        <v>1711700</v>
      </c>
      <c r="F16" s="55"/>
      <c r="G16" s="55"/>
      <c r="H16" s="55">
        <f>SUM(H17:H22)</f>
        <v>8452980000</v>
      </c>
      <c r="I16" s="68"/>
      <c r="J16" s="68"/>
      <c r="K16" s="68"/>
      <c r="L16" s="68"/>
      <c r="M16" s="68"/>
      <c r="N16" s="68"/>
      <c r="O16" s="68"/>
      <c r="P16" s="56"/>
      <c r="Q16" s="56"/>
      <c r="R16" s="56"/>
    </row>
    <row r="17" spans="1:18" x14ac:dyDescent="0.3">
      <c r="A17" t="s">
        <v>727</v>
      </c>
      <c r="B17" t="s">
        <v>728</v>
      </c>
      <c r="C17" s="55">
        <v>550200</v>
      </c>
      <c r="D17" s="55"/>
      <c r="E17" s="55">
        <f>C17</f>
        <v>550200</v>
      </c>
      <c r="F17" s="55">
        <v>150</v>
      </c>
      <c r="G17" s="55"/>
      <c r="H17" s="55">
        <f>E17*F17*12</f>
        <v>990360000</v>
      </c>
      <c r="I17" s="68"/>
      <c r="J17" s="68"/>
      <c r="K17" s="68"/>
      <c r="L17" s="68"/>
      <c r="M17" s="68"/>
      <c r="N17" s="68"/>
      <c r="O17" s="68"/>
      <c r="P17" s="56"/>
      <c r="Q17" s="56"/>
      <c r="R17" s="56"/>
    </row>
    <row r="18" spans="1:18" x14ac:dyDescent="0.3">
      <c r="A18" t="s">
        <v>729</v>
      </c>
      <c r="C18" s="55">
        <v>103600</v>
      </c>
      <c r="D18" s="55"/>
      <c r="E18" s="55">
        <f>C18</f>
        <v>103600</v>
      </c>
      <c r="F18" s="55">
        <v>200</v>
      </c>
      <c r="G18" s="55"/>
      <c r="H18" s="55">
        <f t="shared" ref="H18:H22" si="7">E18*F18*12</f>
        <v>248640000</v>
      </c>
      <c r="I18" s="68"/>
      <c r="J18" s="68"/>
      <c r="K18" s="68"/>
      <c r="L18" s="68"/>
      <c r="M18" s="68"/>
      <c r="N18" s="68"/>
      <c r="O18" s="68"/>
      <c r="P18" s="56"/>
      <c r="Q18" s="56"/>
      <c r="R18" s="56"/>
    </row>
    <row r="19" spans="1:18" x14ac:dyDescent="0.3">
      <c r="A19" t="s">
        <v>915</v>
      </c>
      <c r="C19" s="55">
        <v>126900</v>
      </c>
      <c r="D19" s="55"/>
      <c r="E19" s="55"/>
      <c r="F19" s="55"/>
      <c r="G19" s="55"/>
      <c r="H19" s="55"/>
      <c r="I19" s="68"/>
      <c r="J19" s="68"/>
      <c r="K19" s="68"/>
      <c r="L19" s="68"/>
      <c r="M19" s="68"/>
      <c r="N19" s="68"/>
      <c r="O19" s="68"/>
      <c r="P19" s="56"/>
      <c r="Q19" s="56"/>
      <c r="R19" s="56"/>
    </row>
    <row r="20" spans="1:18" x14ac:dyDescent="0.3">
      <c r="A20" t="s">
        <v>707</v>
      </c>
      <c r="B20" t="s">
        <v>716</v>
      </c>
      <c r="C20" s="55">
        <v>400000</v>
      </c>
      <c r="D20" s="55"/>
      <c r="E20" s="55">
        <f>C20</f>
        <v>400000</v>
      </c>
      <c r="F20" s="55">
        <v>100</v>
      </c>
      <c r="G20" s="55"/>
      <c r="H20" s="55">
        <f t="shared" si="7"/>
        <v>480000000</v>
      </c>
      <c r="I20" s="68"/>
      <c r="J20" s="68"/>
      <c r="K20" s="68"/>
      <c r="L20" s="68"/>
      <c r="M20" s="68"/>
      <c r="O20" s="68"/>
      <c r="P20" s="56"/>
      <c r="Q20" s="56"/>
      <c r="R20" s="56"/>
    </row>
    <row r="21" spans="1:18" x14ac:dyDescent="0.3">
      <c r="A21" t="s">
        <v>700</v>
      </c>
      <c r="B21" t="s">
        <v>710</v>
      </c>
      <c r="C21" s="55">
        <f>1200000-542100</f>
        <v>657900</v>
      </c>
      <c r="D21" s="55"/>
      <c r="E21" s="55">
        <f>C21</f>
        <v>657900</v>
      </c>
      <c r="F21" s="55">
        <v>250</v>
      </c>
      <c r="G21" s="55"/>
      <c r="H21" s="55">
        <f t="shared" si="7"/>
        <v>1973700000</v>
      </c>
      <c r="I21" s="68"/>
      <c r="J21" s="68"/>
      <c r="K21" s="68"/>
      <c r="L21" s="68"/>
      <c r="M21" s="68"/>
      <c r="N21" s="68"/>
      <c r="O21" s="68"/>
      <c r="P21" s="56"/>
      <c r="Q21" s="56"/>
      <c r="R21" s="56"/>
    </row>
    <row r="22" spans="1:18" x14ac:dyDescent="0.3">
      <c r="A22" t="s">
        <v>725</v>
      </c>
      <c r="B22" t="s">
        <v>726</v>
      </c>
      <c r="C22" s="55"/>
      <c r="D22" s="55"/>
      <c r="E22" s="55">
        <f>E14-E17-E18-E20-E21</f>
        <v>1322300</v>
      </c>
      <c r="F22" s="55">
        <v>300</v>
      </c>
      <c r="G22" s="55"/>
      <c r="H22" s="55">
        <f t="shared" si="7"/>
        <v>4760280000</v>
      </c>
      <c r="I22" s="68"/>
      <c r="J22" s="68"/>
      <c r="K22" s="68"/>
      <c r="L22" s="68"/>
      <c r="M22" s="68"/>
      <c r="N22" s="68"/>
      <c r="O22" s="68"/>
      <c r="P22" s="56"/>
      <c r="Q22" s="56"/>
      <c r="R22" s="56"/>
    </row>
    <row r="23" spans="1:18" x14ac:dyDescent="0.3">
      <c r="A23" t="s">
        <v>696</v>
      </c>
      <c r="B23" t="s">
        <v>713</v>
      </c>
      <c r="C23" s="55">
        <v>72984</v>
      </c>
      <c r="D23" s="59">
        <f t="shared" ref="D23:D26" si="8">$C$14/C23</f>
        <v>75.112353392524383</v>
      </c>
      <c r="E23" s="60">
        <v>3826</v>
      </c>
      <c r="F23" s="61">
        <f>(12*C23*E23)/$C$14</f>
        <v>611.24432834731851</v>
      </c>
      <c r="G23" s="61">
        <f>F23/12</f>
        <v>50.937027362276545</v>
      </c>
      <c r="H23" s="62">
        <f>C23*E23*12</f>
        <v>3350841408</v>
      </c>
      <c r="I23" s="68"/>
      <c r="J23" s="68"/>
      <c r="K23" s="68"/>
      <c r="L23" s="68"/>
      <c r="M23" s="68"/>
      <c r="N23" s="68"/>
      <c r="O23" s="68"/>
      <c r="P23" s="56"/>
      <c r="Q23" s="56"/>
      <c r="R23" s="56"/>
    </row>
    <row r="24" spans="1:18" x14ac:dyDescent="0.3">
      <c r="A24" t="s">
        <v>697</v>
      </c>
      <c r="B24" t="s">
        <v>715</v>
      </c>
      <c r="C24" s="55">
        <v>432000</v>
      </c>
      <c r="D24" s="59">
        <f t="shared" si="8"/>
        <v>12.689814814814815</v>
      </c>
      <c r="E24" s="60">
        <v>3036</v>
      </c>
      <c r="F24" s="61">
        <f>(12*C24*E24)/$C$14</f>
        <v>2870.9638817949653</v>
      </c>
      <c r="G24" s="61">
        <f>F24/12</f>
        <v>239.24699014958045</v>
      </c>
      <c r="H24" s="62">
        <f>C24*E24*12</f>
        <v>15738624000</v>
      </c>
      <c r="I24" s="68"/>
      <c r="J24" s="68"/>
      <c r="K24" s="68"/>
      <c r="L24" s="68"/>
      <c r="M24" s="68"/>
      <c r="N24" s="68"/>
      <c r="O24" s="68"/>
      <c r="P24" s="56"/>
      <c r="Q24" s="56"/>
      <c r="R24" s="56"/>
    </row>
    <row r="25" spans="1:18" x14ac:dyDescent="0.3">
      <c r="A25" t="s">
        <v>698</v>
      </c>
      <c r="B25" t="s">
        <v>711</v>
      </c>
      <c r="C25" s="55">
        <f>C26-C24-C23</f>
        <v>1943016</v>
      </c>
      <c r="D25" s="59">
        <f t="shared" si="8"/>
        <v>2.8213869571840893</v>
      </c>
      <c r="E25" s="60">
        <v>3574</v>
      </c>
      <c r="F25" s="59"/>
      <c r="G25" s="59"/>
      <c r="H25" s="59"/>
      <c r="I25" s="68"/>
      <c r="J25" s="68"/>
      <c r="K25" s="68"/>
      <c r="L25" s="68"/>
      <c r="M25" s="68"/>
      <c r="N25" s="68"/>
      <c r="O25" s="68"/>
      <c r="P25" s="56"/>
      <c r="Q25" s="56"/>
      <c r="R25" s="56"/>
    </row>
    <row r="26" spans="1:18" x14ac:dyDescent="0.3">
      <c r="A26" t="s">
        <v>699</v>
      </c>
      <c r="B26" t="s">
        <v>714</v>
      </c>
      <c r="C26" s="55">
        <v>2448000</v>
      </c>
      <c r="D26" s="59">
        <f t="shared" si="8"/>
        <v>2.2393790849673203</v>
      </c>
      <c r="E26" s="59"/>
      <c r="F26" s="59"/>
      <c r="G26" s="59"/>
      <c r="H26" s="59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18" x14ac:dyDescent="0.3">
      <c r="A27" t="s">
        <v>748</v>
      </c>
      <c r="C27" s="63">
        <f>(V_tulot!G22/Ihmismäärät!C26)/12</f>
        <v>454.07815904139437</v>
      </c>
      <c r="D27" s="69">
        <f>E24*0.1</f>
        <v>303.60000000000002</v>
      </c>
      <c r="J27" s="376"/>
    </row>
    <row r="28" spans="1:18" x14ac:dyDescent="0.3">
      <c r="A28" s="7" t="s">
        <v>0</v>
      </c>
      <c r="C28" s="63">
        <f>(V_tulot!G28/Ihmismäärät!C26)/12</f>
        <v>579.01007625272325</v>
      </c>
      <c r="D28" s="69">
        <f>C28/2.4</f>
        <v>241.25419843863469</v>
      </c>
    </row>
    <row r="29" spans="1:18" x14ac:dyDescent="0.3">
      <c r="A29" t="s">
        <v>724</v>
      </c>
      <c r="C29" s="55">
        <v>1474000</v>
      </c>
      <c r="F29">
        <v>2500000</v>
      </c>
    </row>
    <row r="30" spans="1:18" x14ac:dyDescent="0.3">
      <c r="F30">
        <v>3000</v>
      </c>
    </row>
    <row r="31" spans="1:18" x14ac:dyDescent="0.3">
      <c r="A31" t="s">
        <v>721</v>
      </c>
      <c r="F31" s="69">
        <f>F29*F30*12</f>
        <v>90000000000</v>
      </c>
    </row>
    <row r="32" spans="1:18" x14ac:dyDescent="0.3">
      <c r="F32" s="69">
        <f>F31*F34</f>
        <v>9000000000</v>
      </c>
    </row>
    <row r="33" spans="1:16" x14ac:dyDescent="0.3">
      <c r="A33" t="s">
        <v>747</v>
      </c>
      <c r="F33" s="69">
        <f>C25*E25*12+C24*E24*12+C23*E23*12</f>
        <v>102421535616</v>
      </c>
      <c r="G33">
        <v>1800</v>
      </c>
    </row>
    <row r="34" spans="1:16" x14ac:dyDescent="0.3">
      <c r="F34" s="7">
        <v>0.1</v>
      </c>
    </row>
    <row r="35" spans="1:16" x14ac:dyDescent="0.3">
      <c r="F35" s="69">
        <f>F33*F34</f>
        <v>10242153561.6</v>
      </c>
      <c r="G35">
        <f>G33*F34</f>
        <v>180</v>
      </c>
    </row>
    <row r="36" spans="1:16" x14ac:dyDescent="0.3">
      <c r="A36" t="s">
        <v>701</v>
      </c>
      <c r="F36" s="7">
        <v>0.15</v>
      </c>
    </row>
    <row r="37" spans="1:16" x14ac:dyDescent="0.3">
      <c r="A37" t="s">
        <v>704</v>
      </c>
      <c r="C37" s="56">
        <v>7000</v>
      </c>
      <c r="D37" s="68">
        <f>$C$14/C37</f>
        <v>783.14285714285711</v>
      </c>
      <c r="F37" s="69">
        <f>F33-F35</f>
        <v>92179382054.399994</v>
      </c>
    </row>
    <row r="38" spans="1:16" x14ac:dyDescent="0.3">
      <c r="A38" t="s">
        <v>745</v>
      </c>
      <c r="C38" s="56">
        <f>C14/1000*14.1</f>
        <v>77296.2</v>
      </c>
      <c r="D38" s="68">
        <f>$C$14/C38</f>
        <v>70.921985815602838</v>
      </c>
      <c r="F38" s="69">
        <f>F37*F36</f>
        <v>13826907308.159998</v>
      </c>
    </row>
    <row r="39" spans="1:16" x14ac:dyDescent="0.3">
      <c r="A39" t="s">
        <v>706</v>
      </c>
      <c r="F39" s="69">
        <f>F35+F38</f>
        <v>24069060869.759998</v>
      </c>
    </row>
    <row r="40" spans="1:16" x14ac:dyDescent="0.3">
      <c r="A40" t="s">
        <v>730</v>
      </c>
      <c r="C40" s="56">
        <v>5000</v>
      </c>
      <c r="D40" s="68">
        <f>$C$14/C40</f>
        <v>1096.4000000000001</v>
      </c>
    </row>
    <row r="41" spans="1:16" x14ac:dyDescent="0.3">
      <c r="A41" t="s">
        <v>702</v>
      </c>
      <c r="C41" s="56">
        <f>C14/1000*3.2</f>
        <v>17542.400000000001</v>
      </c>
      <c r="D41" s="68">
        <f>$C$14/C41</f>
        <v>312.5</v>
      </c>
    </row>
    <row r="42" spans="1:16" x14ac:dyDescent="0.3">
      <c r="A42" t="s">
        <v>746</v>
      </c>
    </row>
    <row r="43" spans="1:16" x14ac:dyDescent="0.3">
      <c r="C43" s="57"/>
    </row>
    <row r="46" spans="1:16" x14ac:dyDescent="0.3">
      <c r="A46" t="s">
        <v>731</v>
      </c>
      <c r="H46" s="1" t="s">
        <v>749</v>
      </c>
      <c r="I46" s="73">
        <v>4000</v>
      </c>
      <c r="J46" s="1" t="s">
        <v>753</v>
      </c>
      <c r="K46" s="72">
        <v>40</v>
      </c>
      <c r="L46" s="1" t="s">
        <v>750</v>
      </c>
      <c r="M46" s="73">
        <f>3000/36</f>
        <v>83.333333333333329</v>
      </c>
      <c r="N46" s="6" t="s">
        <v>751</v>
      </c>
      <c r="P46" s="75">
        <f>SUM(P47:P61)</f>
        <v>-17370459800</v>
      </c>
    </row>
    <row r="47" spans="1:16" x14ac:dyDescent="0.3">
      <c r="A47" t="s">
        <v>732</v>
      </c>
      <c r="C47" s="62">
        <f>V_tulot!G143</f>
        <v>162876000</v>
      </c>
      <c r="D47" s="64">
        <f>(C47/$C$14)/12</f>
        <v>2.475921196643561</v>
      </c>
      <c r="E47" s="64">
        <f>(C47/$C$26)/12</f>
        <v>5.5445261437908497</v>
      </c>
      <c r="F47" s="64">
        <f>(C47/$C$25)/12</f>
        <v>6.985531771225765</v>
      </c>
      <c r="H47" s="1"/>
      <c r="J47" s="1"/>
      <c r="L47" s="1"/>
    </row>
    <row r="48" spans="1:16" x14ac:dyDescent="0.3">
      <c r="A48" t="s">
        <v>733</v>
      </c>
      <c r="C48" s="62">
        <f>V_tulot!G170</f>
        <v>13456000</v>
      </c>
      <c r="D48" s="64">
        <f t="shared" ref="D48:D61" si="9">(C48/$C$14)/12</f>
        <v>0.20454821841177184</v>
      </c>
      <c r="E48" s="64">
        <f t="shared" ref="E48:E60" si="10">(C48/$C$26)/12</f>
        <v>0.45806100217864926</v>
      </c>
      <c r="F48" s="64">
        <f t="shared" ref="F48:F60" si="11">(C48/$C$25)/12</f>
        <v>0.57710967554221548</v>
      </c>
      <c r="H48" s="1"/>
      <c r="J48" s="1"/>
      <c r="L48" s="1"/>
    </row>
    <row r="49" spans="1:16" x14ac:dyDescent="0.3">
      <c r="A49" t="s">
        <v>7</v>
      </c>
      <c r="C49" s="62">
        <f>V_tulot!G182</f>
        <v>210596000</v>
      </c>
      <c r="D49" s="64">
        <f t="shared" si="9"/>
        <v>3.2013255502857838</v>
      </c>
      <c r="E49" s="64">
        <f t="shared" si="10"/>
        <v>7.168981481481481</v>
      </c>
      <c r="F49" s="64">
        <f t="shared" si="11"/>
        <v>9.0321781532764867</v>
      </c>
      <c r="G49">
        <v>11</v>
      </c>
      <c r="H49" s="1"/>
      <c r="J49" s="1"/>
      <c r="L49" s="1"/>
    </row>
    <row r="50" spans="1:16" x14ac:dyDescent="0.3">
      <c r="A50" t="s">
        <v>734</v>
      </c>
      <c r="C50" s="62">
        <f>V_tulot!G206</f>
        <v>1060213000</v>
      </c>
      <c r="D50" s="64">
        <f t="shared" si="9"/>
        <v>16.116578499331144</v>
      </c>
      <c r="E50" s="64">
        <f t="shared" si="10"/>
        <v>36.091128812636164</v>
      </c>
      <c r="F50" s="64">
        <f t="shared" si="11"/>
        <v>45.471104372446412</v>
      </c>
      <c r="G50">
        <v>11</v>
      </c>
      <c r="H50" s="1"/>
      <c r="J50" s="1"/>
      <c r="L50" s="1"/>
    </row>
    <row r="51" spans="1:16" x14ac:dyDescent="0.3">
      <c r="A51" t="s">
        <v>6</v>
      </c>
      <c r="C51" s="62">
        <f>V_tulot!G232</f>
        <v>925500000</v>
      </c>
      <c r="D51" s="64">
        <f t="shared" si="9"/>
        <v>14.068770521707407</v>
      </c>
      <c r="E51" s="64">
        <f t="shared" si="10"/>
        <v>31.505310457516341</v>
      </c>
      <c r="F51" s="64">
        <f t="shared" si="11"/>
        <v>39.69344565356127</v>
      </c>
      <c r="G51">
        <v>11</v>
      </c>
      <c r="H51" s="1"/>
      <c r="J51" s="1"/>
      <c r="L51" s="1"/>
    </row>
    <row r="52" spans="1:16" x14ac:dyDescent="0.3">
      <c r="A52" t="s">
        <v>735</v>
      </c>
      <c r="C52" s="62">
        <f>V_tulot!G265</f>
        <v>1994624000</v>
      </c>
      <c r="D52" s="64">
        <f t="shared" si="9"/>
        <v>30.320807491183263</v>
      </c>
      <c r="E52" s="64">
        <f t="shared" si="10"/>
        <v>67.899782135076251</v>
      </c>
      <c r="F52" s="64">
        <f t="shared" si="11"/>
        <v>85.546730786914097</v>
      </c>
      <c r="G52">
        <v>11</v>
      </c>
      <c r="H52" s="1"/>
      <c r="J52" s="1"/>
      <c r="L52" s="1"/>
    </row>
    <row r="53" spans="1:16" x14ac:dyDescent="0.3">
      <c r="A53" t="s">
        <v>736</v>
      </c>
      <c r="C53" s="62">
        <f>V_tulot!G299</f>
        <v>2884597000</v>
      </c>
      <c r="D53" s="64">
        <f t="shared" si="9"/>
        <v>43.849522680287002</v>
      </c>
      <c r="E53" s="64">
        <f t="shared" si="10"/>
        <v>98.195703976034849</v>
      </c>
      <c r="F53" s="64">
        <f t="shared" si="11"/>
        <v>123.71647136890964</v>
      </c>
      <c r="G53">
        <v>11</v>
      </c>
      <c r="H53" s="1"/>
      <c r="J53" s="1"/>
      <c r="L53" s="1"/>
    </row>
    <row r="54" spans="1:16" x14ac:dyDescent="0.3">
      <c r="A54" t="s">
        <v>737</v>
      </c>
      <c r="C54" s="66">
        <f>V_tulot!G316</f>
        <v>17397734000</v>
      </c>
      <c r="D54" s="67">
        <f t="shared" si="9"/>
        <v>264.46756050103369</v>
      </c>
      <c r="E54" s="67">
        <f t="shared" si="10"/>
        <v>592.24312363834417</v>
      </c>
      <c r="F54" s="67">
        <f t="shared" si="11"/>
        <v>746.16532579591046</v>
      </c>
      <c r="G54">
        <v>11</v>
      </c>
      <c r="H54" s="71">
        <v>347</v>
      </c>
      <c r="I54" s="62">
        <f>H54*I46*1.6*12</f>
        <v>26649600</v>
      </c>
      <c r="J54" s="70">
        <f>H54*20</f>
        <v>6940</v>
      </c>
      <c r="K54" s="62">
        <f>J54*$K$46</f>
        <v>277600</v>
      </c>
      <c r="L54" s="74">
        <f>H54</f>
        <v>347</v>
      </c>
      <c r="M54" s="62">
        <f>L54*M46*12</f>
        <v>347000</v>
      </c>
      <c r="N54" s="75">
        <f>I54+K54+M54</f>
        <v>27274200</v>
      </c>
      <c r="O54" s="76">
        <f>N54/Ihmismäärät!$C$14</f>
        <v>4.9752280189711788</v>
      </c>
      <c r="P54" s="75">
        <f>N54-C54</f>
        <v>-17370459800</v>
      </c>
    </row>
    <row r="55" spans="1:16" x14ac:dyDescent="0.3">
      <c r="A55" t="s">
        <v>3</v>
      </c>
      <c r="C55" s="66">
        <f>V_tulot!G404</f>
        <v>6799619000</v>
      </c>
      <c r="D55" s="67">
        <f t="shared" si="9"/>
        <v>103.36280858567433</v>
      </c>
      <c r="E55" s="67">
        <f t="shared" si="10"/>
        <v>231.46851171023965</v>
      </c>
      <c r="F55" s="67">
        <f t="shared" si="11"/>
        <v>291.62648000153712</v>
      </c>
      <c r="G55">
        <v>11</v>
      </c>
      <c r="H55" s="1"/>
      <c r="J55" s="1"/>
      <c r="L55" s="1"/>
    </row>
    <row r="56" spans="1:16" x14ac:dyDescent="0.3">
      <c r="A56" t="s">
        <v>738</v>
      </c>
      <c r="C56" s="62">
        <f>V_tulot!G500</f>
        <v>2572835000</v>
      </c>
      <c r="D56" s="64">
        <f t="shared" si="9"/>
        <v>39.110345980785603</v>
      </c>
      <c r="E56" s="64">
        <f t="shared" si="10"/>
        <v>87.582890795206978</v>
      </c>
      <c r="F56" s="64">
        <f t="shared" si="11"/>
        <v>110.34542004114566</v>
      </c>
      <c r="G56">
        <v>11</v>
      </c>
      <c r="H56" s="1"/>
      <c r="J56" s="1"/>
      <c r="L56" s="1"/>
    </row>
    <row r="57" spans="1:16" x14ac:dyDescent="0.3">
      <c r="A57" t="s">
        <v>739</v>
      </c>
      <c r="C57" s="62">
        <f>V_tulot!G564</f>
        <v>2973063000</v>
      </c>
      <c r="D57" s="64">
        <f t="shared" si="9"/>
        <v>45.194317767238232</v>
      </c>
      <c r="E57" s="64">
        <f t="shared" si="10"/>
        <v>101.20720996732025</v>
      </c>
      <c r="F57" s="64">
        <f t="shared" si="11"/>
        <v>127.51065868731909</v>
      </c>
      <c r="G57">
        <v>11</v>
      </c>
      <c r="H57" s="1"/>
      <c r="J57" s="1"/>
      <c r="L57" s="1"/>
    </row>
    <row r="58" spans="1:16" x14ac:dyDescent="0.3">
      <c r="A58" t="s">
        <v>5</v>
      </c>
      <c r="C58" s="62">
        <f>V_tulot!G603</f>
        <v>3088247000</v>
      </c>
      <c r="D58" s="64">
        <f t="shared" si="9"/>
        <v>46.945260245652435</v>
      </c>
      <c r="E58" s="64">
        <f t="shared" si="10"/>
        <v>105.12823393246187</v>
      </c>
      <c r="F58" s="64">
        <f t="shared" si="11"/>
        <v>132.4507449586965</v>
      </c>
      <c r="G58">
        <v>11</v>
      </c>
      <c r="H58" s="1"/>
      <c r="J58" s="1"/>
      <c r="L58" s="1"/>
    </row>
    <row r="59" spans="1:16" x14ac:dyDescent="0.3">
      <c r="A59" t="s">
        <v>4</v>
      </c>
      <c r="C59" s="66">
        <f>V_tulot!G674</f>
        <v>13205943000</v>
      </c>
      <c r="D59" s="67">
        <f t="shared" si="9"/>
        <v>200.74703575337469</v>
      </c>
      <c r="E59" s="67">
        <f t="shared" si="10"/>
        <v>449.54871323529414</v>
      </c>
      <c r="F59" s="67">
        <f t="shared" si="11"/>
        <v>566.38506836793931</v>
      </c>
      <c r="G59">
        <v>11</v>
      </c>
      <c r="H59" s="1"/>
      <c r="J59" s="1"/>
      <c r="L59" s="1"/>
    </row>
    <row r="60" spans="1:16" x14ac:dyDescent="0.3">
      <c r="A60" t="s">
        <v>740</v>
      </c>
      <c r="C60" s="62">
        <f>V_tulot!G772</f>
        <v>204240000</v>
      </c>
      <c r="D60" s="64">
        <f t="shared" si="9"/>
        <v>3.1047063115651223</v>
      </c>
      <c r="E60" s="64">
        <f t="shared" si="10"/>
        <v>6.9526143790849675</v>
      </c>
      <c r="F60" s="64">
        <f t="shared" si="11"/>
        <v>8.7595778933369566</v>
      </c>
      <c r="G60">
        <v>11</v>
      </c>
      <c r="H60" s="1"/>
      <c r="J60" s="1"/>
      <c r="L60" s="1"/>
    </row>
    <row r="61" spans="1:16" x14ac:dyDescent="0.3">
      <c r="A61" t="s">
        <v>741</v>
      </c>
      <c r="C61">
        <f>V_tulot!G800</f>
        <v>1548100000</v>
      </c>
      <c r="D61" s="64">
        <f t="shared" si="9"/>
        <v>23.533077952085616</v>
      </c>
      <c r="E61" s="64">
        <f t="shared" ref="E61" si="12">(C61/$C$26)/12</f>
        <v>52.699482570806104</v>
      </c>
      <c r="F61" s="64">
        <f t="shared" ref="F61" si="13">(C61/$C$25)/12</f>
        <v>66.395919196410802</v>
      </c>
      <c r="G61">
        <f>SUM(G49:G60)</f>
        <v>132</v>
      </c>
      <c r="H61" s="1"/>
      <c r="J61" s="1"/>
      <c r="L61" s="1"/>
    </row>
    <row r="62" spans="1:16" x14ac:dyDescent="0.3">
      <c r="A62" t="s">
        <v>752</v>
      </c>
      <c r="D62" s="64"/>
      <c r="E62" s="64"/>
      <c r="F62" s="64"/>
      <c r="H62" s="1"/>
      <c r="J62" s="1"/>
      <c r="L62" s="1"/>
    </row>
    <row r="63" spans="1:16" x14ac:dyDescent="0.3">
      <c r="C63" s="65">
        <f>SUM(C47:C61)</f>
        <v>55041643000</v>
      </c>
      <c r="D63" s="65">
        <f>SUM(D47:D61)</f>
        <v>836.70258725525957</v>
      </c>
      <c r="E63" s="65">
        <f t="shared" ref="E63:F63" si="14">SUM(E47:E61)</f>
        <v>1873.6942742374729</v>
      </c>
      <c r="F63" s="65">
        <f t="shared" si="14"/>
        <v>2360.6617667241717</v>
      </c>
      <c r="H63" s="1"/>
      <c r="J63" s="1"/>
      <c r="L63" s="1"/>
    </row>
    <row r="64" spans="1:16" x14ac:dyDescent="0.3">
      <c r="H64" s="1"/>
      <c r="J64" s="1"/>
      <c r="L64" s="1"/>
    </row>
    <row r="65" spans="1:8" x14ac:dyDescent="0.3">
      <c r="H65" s="1"/>
    </row>
    <row r="67" spans="1:8" x14ac:dyDescent="0.3">
      <c r="A67" t="s">
        <v>742</v>
      </c>
      <c r="C67" t="s">
        <v>743</v>
      </c>
      <c r="E67" s="64">
        <f>625/12</f>
        <v>52.083333333333336</v>
      </c>
    </row>
    <row r="68" spans="1:8" x14ac:dyDescent="0.3">
      <c r="A68" t="s">
        <v>744</v>
      </c>
      <c r="C68">
        <v>25000</v>
      </c>
    </row>
    <row r="72" spans="1:8" x14ac:dyDescent="0.3">
      <c r="C72">
        <v>2000</v>
      </c>
      <c r="D72">
        <v>12</v>
      </c>
      <c r="E72">
        <f>C72*D72</f>
        <v>24000</v>
      </c>
    </row>
    <row r="73" spans="1:8" x14ac:dyDescent="0.3">
      <c r="E73" s="11">
        <v>0.115</v>
      </c>
    </row>
    <row r="74" spans="1:8" x14ac:dyDescent="0.3">
      <c r="E74">
        <f>C72-C72*E73</f>
        <v>1770</v>
      </c>
    </row>
    <row r="75" spans="1:8" x14ac:dyDescent="0.3">
      <c r="E75">
        <f>C72-C72*F85</f>
        <v>1600</v>
      </c>
      <c r="F75">
        <f>E75+F86</f>
        <v>1900</v>
      </c>
      <c r="G75">
        <f>F75-E74</f>
        <v>130</v>
      </c>
      <c r="H75" s="11">
        <f>G75/C72</f>
        <v>6.5000000000000002E-2</v>
      </c>
    </row>
    <row r="77" spans="1:8" x14ac:dyDescent="0.3">
      <c r="C77">
        <v>3000</v>
      </c>
      <c r="D77">
        <v>12</v>
      </c>
      <c r="E77">
        <f>C77*D77</f>
        <v>36000</v>
      </c>
    </row>
    <row r="78" spans="1:8" x14ac:dyDescent="0.3">
      <c r="C78">
        <v>2800</v>
      </c>
      <c r="E78" s="11">
        <v>0.185</v>
      </c>
    </row>
    <row r="79" spans="1:8" x14ac:dyDescent="0.3">
      <c r="E79">
        <f>C77-C77*E78</f>
        <v>2445</v>
      </c>
    </row>
    <row r="80" spans="1:8" x14ac:dyDescent="0.3">
      <c r="E80">
        <f>C77-C77*F85</f>
        <v>2400</v>
      </c>
      <c r="F80">
        <f>E80+F86</f>
        <v>2700</v>
      </c>
      <c r="G80">
        <f>F80-E79</f>
        <v>255</v>
      </c>
      <c r="H80" s="11">
        <f>G80/C77</f>
        <v>8.5000000000000006E-2</v>
      </c>
    </row>
    <row r="81" spans="3:10" x14ac:dyDescent="0.3">
      <c r="E81">
        <f>C78-C78*F85</f>
        <v>2240</v>
      </c>
      <c r="F81">
        <f>E81+F86</f>
        <v>2540</v>
      </c>
    </row>
    <row r="82" spans="3:10" x14ac:dyDescent="0.3">
      <c r="C82">
        <v>6000</v>
      </c>
      <c r="D82">
        <v>12</v>
      </c>
      <c r="E82">
        <f>C82*D82</f>
        <v>72000</v>
      </c>
    </row>
    <row r="83" spans="3:10" x14ac:dyDescent="0.3">
      <c r="C83">
        <v>4900</v>
      </c>
      <c r="E83" s="11">
        <v>0.29499999999999998</v>
      </c>
    </row>
    <row r="84" spans="3:10" x14ac:dyDescent="0.3">
      <c r="E84">
        <f>C82-C82*E83</f>
        <v>4230</v>
      </c>
      <c r="F84">
        <f>C82-E84</f>
        <v>1770</v>
      </c>
    </row>
    <row r="85" spans="3:10" x14ac:dyDescent="0.3">
      <c r="E85">
        <f>C82-C82*F85</f>
        <v>4800</v>
      </c>
      <c r="F85">
        <v>0.2</v>
      </c>
      <c r="H85">
        <f>E85+F86</f>
        <v>5100</v>
      </c>
      <c r="I85" s="6">
        <f>C82-H85</f>
        <v>900</v>
      </c>
      <c r="J85" s="11">
        <f>I85/C82</f>
        <v>0.15</v>
      </c>
    </row>
    <row r="86" spans="3:10" x14ac:dyDescent="0.3">
      <c r="E86">
        <f>C83-C83*F85+F86</f>
        <v>4220</v>
      </c>
      <c r="F86">
        <v>300</v>
      </c>
    </row>
    <row r="87" spans="3:10" x14ac:dyDescent="0.3">
      <c r="E87" s="11">
        <f>(C83-E86)/C83</f>
        <v>0.13877551020408163</v>
      </c>
    </row>
    <row r="88" spans="3:10" x14ac:dyDescent="0.3">
      <c r="C88">
        <v>3500</v>
      </c>
      <c r="D88">
        <v>12</v>
      </c>
      <c r="E88">
        <f>C88*D88</f>
        <v>42000</v>
      </c>
    </row>
    <row r="89" spans="3:10" x14ac:dyDescent="0.3">
      <c r="C89">
        <v>3100</v>
      </c>
      <c r="E89" s="11">
        <v>0.215</v>
      </c>
    </row>
    <row r="90" spans="3:10" x14ac:dyDescent="0.3">
      <c r="E90">
        <f>C88-C88*E89</f>
        <v>2747.5</v>
      </c>
      <c r="F90">
        <f>F91-E90</f>
        <v>352.5</v>
      </c>
    </row>
    <row r="91" spans="3:10" x14ac:dyDescent="0.3">
      <c r="E91">
        <f>C88-C88*F85</f>
        <v>2800</v>
      </c>
      <c r="F91">
        <f>E91+F86</f>
        <v>3100</v>
      </c>
      <c r="G91">
        <f>C88-F91</f>
        <v>400</v>
      </c>
      <c r="H91" s="11">
        <f>G91/C88</f>
        <v>0.11428571428571428</v>
      </c>
    </row>
    <row r="92" spans="3:10" x14ac:dyDescent="0.3">
      <c r="E92">
        <f>C89-C89*0.1</f>
        <v>2790</v>
      </c>
    </row>
    <row r="93" spans="3:10" x14ac:dyDescent="0.3">
      <c r="D93">
        <f>C89*C23</f>
        <v>226250400</v>
      </c>
    </row>
    <row r="94" spans="3:10" x14ac:dyDescent="0.3">
      <c r="D94">
        <f>C88*C23</f>
        <v>255444000</v>
      </c>
    </row>
    <row r="95" spans="3:10" x14ac:dyDescent="0.3">
      <c r="D95" s="62">
        <f>D94-D93</f>
        <v>29193600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2"/>
  <sheetViews>
    <sheetView workbookViewId="0">
      <selection activeCell="I18" sqref="I18"/>
    </sheetView>
  </sheetViews>
  <sheetFormatPr defaultRowHeight="14.4" x14ac:dyDescent="0.3"/>
  <cols>
    <col min="1" max="1" width="2.6640625" style="2" customWidth="1"/>
    <col min="2" max="2" width="16.44140625" bestFit="1" customWidth="1"/>
    <col min="3" max="3" width="9.109375" style="6"/>
    <col min="4" max="4" width="10" style="6" bestFit="1" customWidth="1"/>
    <col min="5" max="5" width="9.109375" style="105"/>
    <col min="6" max="6" width="15" style="105" bestFit="1" customWidth="1"/>
    <col min="7" max="7" width="9.33203125" style="105" bestFit="1" customWidth="1"/>
    <col min="8" max="8" width="9.109375" style="105"/>
    <col min="9" max="9" width="19" style="105" bestFit="1" customWidth="1"/>
    <col min="10" max="10" width="10.5546875" bestFit="1" customWidth="1"/>
    <col min="11" max="11" width="10" bestFit="1" customWidth="1"/>
  </cols>
  <sheetData>
    <row r="1" spans="1:9" s="105" customFormat="1" x14ac:dyDescent="0.3">
      <c r="A1" s="109"/>
      <c r="C1" s="354"/>
      <c r="D1" s="354"/>
    </row>
    <row r="2" spans="1:9" s="105" customFormat="1" x14ac:dyDescent="0.3">
      <c r="A2" s="109"/>
      <c r="C2" s="354" t="s">
        <v>932</v>
      </c>
      <c r="D2" s="354" t="s">
        <v>933</v>
      </c>
    </row>
    <row r="3" spans="1:9" x14ac:dyDescent="0.3">
      <c r="A3" s="109"/>
      <c r="B3" s="105"/>
      <c r="C3" s="354"/>
      <c r="D3" s="354"/>
    </row>
    <row r="4" spans="1:9" s="2" customFormat="1" x14ac:dyDescent="0.3">
      <c r="A4" s="362" t="s">
        <v>918</v>
      </c>
      <c r="B4" s="363"/>
      <c r="C4" s="364">
        <f>SUM(C5:C9)</f>
        <v>300</v>
      </c>
      <c r="D4" s="365">
        <f>SUM(D5:D9)</f>
        <v>-20</v>
      </c>
      <c r="E4" s="250">
        <f>C4-D4</f>
        <v>320</v>
      </c>
      <c r="F4" s="109"/>
      <c r="G4" s="109"/>
      <c r="H4" s="109"/>
      <c r="I4" s="109"/>
    </row>
    <row r="5" spans="1:9" s="2" customFormat="1" x14ac:dyDescent="0.3">
      <c r="A5" s="358"/>
      <c r="B5" s="359" t="s">
        <v>934</v>
      </c>
      <c r="C5" s="360">
        <f>U_Kuitti_yhteis2019!F73</f>
        <v>300</v>
      </c>
      <c r="D5" s="366">
        <v>100</v>
      </c>
      <c r="E5" s="109"/>
      <c r="F5" s="109"/>
      <c r="G5" s="109"/>
      <c r="H5" s="109"/>
      <c r="I5" s="109"/>
    </row>
    <row r="6" spans="1:9" x14ac:dyDescent="0.3">
      <c r="A6" s="10"/>
      <c r="B6" s="9" t="s">
        <v>927</v>
      </c>
      <c r="C6" s="361">
        <v>0</v>
      </c>
      <c r="D6" s="367">
        <f>-200*0.6</f>
        <v>-120</v>
      </c>
    </row>
    <row r="7" spans="1:9" x14ac:dyDescent="0.3">
      <c r="A7" s="10"/>
      <c r="B7" s="9" t="s">
        <v>929</v>
      </c>
      <c r="C7" s="361">
        <v>0</v>
      </c>
      <c r="D7" s="367"/>
    </row>
    <row r="8" spans="1:9" x14ac:dyDescent="0.3">
      <c r="A8" s="10"/>
      <c r="B8" s="9" t="s">
        <v>930</v>
      </c>
      <c r="C8" s="361">
        <v>0</v>
      </c>
      <c r="D8" s="367"/>
    </row>
    <row r="9" spans="1:9" x14ac:dyDescent="0.3">
      <c r="A9" s="10"/>
      <c r="B9" s="9" t="s">
        <v>772</v>
      </c>
      <c r="C9" s="361">
        <v>0</v>
      </c>
      <c r="D9" s="367">
        <v>0</v>
      </c>
    </row>
    <row r="10" spans="1:9" x14ac:dyDescent="0.3">
      <c r="A10" s="109"/>
      <c r="B10" s="105"/>
      <c r="C10" s="354"/>
      <c r="D10" s="354"/>
    </row>
    <row r="11" spans="1:9" s="2" customFormat="1" x14ac:dyDescent="0.3">
      <c r="A11" s="362" t="s">
        <v>919</v>
      </c>
      <c r="B11" s="363"/>
      <c r="C11" s="364">
        <f>SUM(C12:C17)</f>
        <v>110</v>
      </c>
      <c r="D11" s="365">
        <f>SUM(D12:D17)</f>
        <v>100</v>
      </c>
      <c r="E11" s="250">
        <f>C11-D11</f>
        <v>10</v>
      </c>
      <c r="F11" s="109"/>
      <c r="G11" s="109"/>
      <c r="H11" s="109"/>
      <c r="I11" s="250"/>
    </row>
    <row r="12" spans="1:9" s="2" customFormat="1" x14ac:dyDescent="0.3">
      <c r="A12" s="358"/>
      <c r="B12" s="359" t="s">
        <v>934</v>
      </c>
      <c r="C12" s="360">
        <f>U_Kuitti_yhteis2019!F74</f>
        <v>110</v>
      </c>
      <c r="D12" s="366">
        <v>100</v>
      </c>
      <c r="E12" s="109"/>
      <c r="F12" s="109"/>
      <c r="G12" s="109"/>
      <c r="H12" s="109"/>
      <c r="I12" s="109"/>
    </row>
    <row r="13" spans="1:9" s="2" customFormat="1" x14ac:dyDescent="0.3">
      <c r="A13" s="358"/>
      <c r="B13" s="359" t="s">
        <v>928</v>
      </c>
      <c r="C13" s="360">
        <v>0</v>
      </c>
      <c r="D13" s="366">
        <v>0</v>
      </c>
      <c r="E13" s="109"/>
      <c r="F13" s="109"/>
      <c r="G13" s="109"/>
      <c r="H13" s="109"/>
      <c r="I13" s="109"/>
    </row>
    <row r="14" spans="1:9" s="2" customFormat="1" x14ac:dyDescent="0.3">
      <c r="A14" s="358"/>
      <c r="B14" s="359" t="s">
        <v>929</v>
      </c>
      <c r="C14" s="360">
        <v>0</v>
      </c>
      <c r="D14" s="366"/>
      <c r="E14" s="109"/>
      <c r="F14" s="109"/>
      <c r="G14" s="109"/>
      <c r="H14" s="109"/>
      <c r="I14" s="109"/>
    </row>
    <row r="15" spans="1:9" s="2" customFormat="1" x14ac:dyDescent="0.3">
      <c r="A15" s="358"/>
      <c r="B15" s="359" t="s">
        <v>930</v>
      </c>
      <c r="C15" s="360">
        <v>0</v>
      </c>
      <c r="D15" s="366"/>
      <c r="E15" s="109"/>
      <c r="F15" s="109"/>
      <c r="G15" s="109"/>
      <c r="H15" s="109"/>
      <c r="I15" s="109"/>
    </row>
    <row r="16" spans="1:9" s="2" customFormat="1" x14ac:dyDescent="0.3">
      <c r="A16" s="358"/>
      <c r="B16" s="359" t="s">
        <v>772</v>
      </c>
      <c r="C16" s="360">
        <v>0</v>
      </c>
      <c r="D16" s="366">
        <v>0</v>
      </c>
      <c r="E16" s="109"/>
      <c r="F16" s="109"/>
      <c r="G16" s="109"/>
      <c r="H16" s="109"/>
      <c r="I16" s="109"/>
    </row>
    <row r="17" spans="1:12" s="2" customFormat="1" x14ac:dyDescent="0.3">
      <c r="A17" s="358"/>
      <c r="B17" s="359" t="s">
        <v>850</v>
      </c>
      <c r="C17" s="360">
        <v>0</v>
      </c>
      <c r="D17" s="366">
        <v>0</v>
      </c>
      <c r="E17" s="109"/>
      <c r="F17" s="109"/>
      <c r="G17" s="109"/>
      <c r="H17" s="109"/>
      <c r="I17" s="109"/>
    </row>
    <row r="18" spans="1:12" x14ac:dyDescent="0.3">
      <c r="A18" s="109"/>
      <c r="B18" s="105"/>
      <c r="C18" s="354"/>
      <c r="D18" s="354"/>
    </row>
    <row r="19" spans="1:12" s="2" customFormat="1" x14ac:dyDescent="0.3">
      <c r="A19" s="362" t="s">
        <v>920</v>
      </c>
      <c r="B19" s="363"/>
      <c r="C19" s="364">
        <f>SUM(C20:C25)</f>
        <v>190</v>
      </c>
      <c r="D19" s="365">
        <f>SUM(D20:D25)</f>
        <v>243</v>
      </c>
      <c r="E19" s="250">
        <f>C19-D19</f>
        <v>-53</v>
      </c>
      <c r="F19" s="109"/>
      <c r="G19" s="109"/>
      <c r="H19" s="109"/>
      <c r="I19" s="109"/>
    </row>
    <row r="20" spans="1:12" s="2" customFormat="1" x14ac:dyDescent="0.3">
      <c r="A20" s="358"/>
      <c r="B20" s="359" t="s">
        <v>934</v>
      </c>
      <c r="C20" s="360">
        <f>U_Kuitti_yhteis2019!F75</f>
        <v>190</v>
      </c>
      <c r="D20" s="366">
        <v>243</v>
      </c>
      <c r="E20" s="109"/>
      <c r="F20" s="109"/>
      <c r="G20" s="109"/>
      <c r="H20" s="109"/>
      <c r="I20" s="109"/>
    </row>
    <row r="21" spans="1:12" s="2" customFormat="1" x14ac:dyDescent="0.3">
      <c r="A21" s="358"/>
      <c r="B21" s="359" t="s">
        <v>928</v>
      </c>
      <c r="C21" s="360">
        <v>0</v>
      </c>
      <c r="D21" s="366">
        <v>0</v>
      </c>
      <c r="E21" s="109"/>
      <c r="F21" s="109"/>
      <c r="G21" s="109"/>
      <c r="H21" s="109"/>
      <c r="I21" s="109"/>
    </row>
    <row r="22" spans="1:12" s="2" customFormat="1" x14ac:dyDescent="0.3">
      <c r="A22" s="358"/>
      <c r="B22" s="359" t="s">
        <v>929</v>
      </c>
      <c r="C22" s="360">
        <v>0</v>
      </c>
      <c r="D22" s="366"/>
      <c r="E22" s="109"/>
      <c r="F22" s="109"/>
      <c r="G22" s="109"/>
      <c r="H22" s="109"/>
      <c r="I22" s="109"/>
    </row>
    <row r="23" spans="1:12" s="2" customFormat="1" x14ac:dyDescent="0.3">
      <c r="A23" s="358"/>
      <c r="B23" s="359" t="s">
        <v>930</v>
      </c>
      <c r="C23" s="360">
        <v>0</v>
      </c>
      <c r="D23" s="366"/>
      <c r="E23" s="109"/>
      <c r="F23" s="109"/>
      <c r="G23" s="109"/>
      <c r="H23" s="109"/>
      <c r="I23" s="109"/>
    </row>
    <row r="24" spans="1:12" s="2" customFormat="1" x14ac:dyDescent="0.3">
      <c r="A24" s="358"/>
      <c r="B24" s="359" t="s">
        <v>772</v>
      </c>
      <c r="C24" s="360">
        <v>0</v>
      </c>
      <c r="D24" s="366">
        <v>0</v>
      </c>
      <c r="E24" s="109"/>
      <c r="F24" s="109"/>
      <c r="G24" s="109"/>
      <c r="H24" s="109"/>
      <c r="I24" s="109"/>
      <c r="K24" s="2">
        <f>571000000+207000000</f>
        <v>778000000</v>
      </c>
      <c r="L24" s="2" t="s">
        <v>935</v>
      </c>
    </row>
    <row r="25" spans="1:12" s="2" customFormat="1" x14ac:dyDescent="0.3">
      <c r="A25" s="358"/>
      <c r="B25" s="359" t="s">
        <v>850</v>
      </c>
      <c r="C25" s="360">
        <v>0</v>
      </c>
      <c r="D25" s="366">
        <v>0</v>
      </c>
      <c r="E25" s="109"/>
      <c r="F25" s="109"/>
      <c r="G25" s="109"/>
      <c r="H25" s="109"/>
      <c r="I25" s="109"/>
      <c r="K25" s="2">
        <v>280300</v>
      </c>
    </row>
    <row r="26" spans="1:12" x14ac:dyDescent="0.3">
      <c r="A26" s="109"/>
      <c r="B26" s="105"/>
      <c r="C26" s="354"/>
      <c r="D26" s="354"/>
    </row>
    <row r="27" spans="1:12" s="2" customFormat="1" x14ac:dyDescent="0.3">
      <c r="A27" s="362" t="s">
        <v>921</v>
      </c>
      <c r="B27" s="363"/>
      <c r="C27" s="364">
        <f>SUM(C28:C33)</f>
        <v>400</v>
      </c>
      <c r="D27" s="365">
        <f>SUM(D28:D33)</f>
        <v>185</v>
      </c>
      <c r="E27" s="250">
        <f>C27-D27</f>
        <v>215</v>
      </c>
      <c r="F27" s="109"/>
      <c r="G27" s="250"/>
      <c r="H27" s="109"/>
      <c r="I27" s="109"/>
      <c r="K27" s="2">
        <f>K24/K25</f>
        <v>2775.5975740278272</v>
      </c>
    </row>
    <row r="28" spans="1:12" s="2" customFormat="1" x14ac:dyDescent="0.3">
      <c r="A28" s="358"/>
      <c r="B28" s="359" t="s">
        <v>934</v>
      </c>
      <c r="C28" s="360">
        <f>U_Kuitti_yhteis2019!F76</f>
        <v>400</v>
      </c>
      <c r="D28" s="366">
        <v>231</v>
      </c>
      <c r="E28" s="109"/>
      <c r="F28" s="109"/>
      <c r="G28" s="109"/>
      <c r="H28" s="109"/>
      <c r="I28" s="109"/>
      <c r="K28" s="2">
        <v>12</v>
      </c>
    </row>
    <row r="29" spans="1:12" s="2" customFormat="1" x14ac:dyDescent="0.3">
      <c r="A29" s="358"/>
      <c r="B29" s="359" t="s">
        <v>928</v>
      </c>
      <c r="C29" s="360">
        <v>0</v>
      </c>
      <c r="D29" s="366">
        <v>0</v>
      </c>
      <c r="E29" s="109"/>
      <c r="F29" s="109"/>
      <c r="G29" s="109"/>
      <c r="H29" s="109"/>
      <c r="I29" s="109"/>
      <c r="K29" s="2">
        <f>K27/K28</f>
        <v>231.29979783565227</v>
      </c>
    </row>
    <row r="30" spans="1:12" s="2" customFormat="1" x14ac:dyDescent="0.3">
      <c r="A30" s="358"/>
      <c r="B30" s="359" t="s">
        <v>929</v>
      </c>
      <c r="C30" s="360">
        <v>0</v>
      </c>
      <c r="D30" s="366"/>
      <c r="E30" s="109"/>
      <c r="F30" s="109"/>
      <c r="G30" s="109"/>
      <c r="H30" s="109"/>
      <c r="I30" s="109"/>
    </row>
    <row r="31" spans="1:12" s="2" customFormat="1" x14ac:dyDescent="0.3">
      <c r="A31" s="358"/>
      <c r="B31" s="359" t="s">
        <v>930</v>
      </c>
      <c r="C31" s="360">
        <v>0</v>
      </c>
      <c r="D31" s="366"/>
      <c r="E31" s="109"/>
      <c r="F31" s="109"/>
      <c r="G31" s="109"/>
      <c r="H31" s="109"/>
      <c r="I31" s="109"/>
    </row>
    <row r="32" spans="1:12" s="2" customFormat="1" x14ac:dyDescent="0.3">
      <c r="A32" s="358"/>
      <c r="B32" s="359" t="s">
        <v>772</v>
      </c>
      <c r="C32" s="360">
        <v>0</v>
      </c>
      <c r="D32" s="366">
        <v>0</v>
      </c>
      <c r="E32" s="109"/>
      <c r="F32" s="109"/>
      <c r="G32" s="109"/>
      <c r="H32" s="109"/>
      <c r="I32" s="109"/>
    </row>
    <row r="33" spans="1:9" s="2" customFormat="1" x14ac:dyDescent="0.3">
      <c r="A33" s="358"/>
      <c r="B33" s="359" t="s">
        <v>850</v>
      </c>
      <c r="C33" s="360">
        <v>0</v>
      </c>
      <c r="D33" s="366">
        <f>-2.3*20</f>
        <v>-46</v>
      </c>
      <c r="E33" s="109"/>
      <c r="F33" s="109"/>
      <c r="G33" s="109"/>
      <c r="H33" s="109"/>
      <c r="I33" s="109"/>
    </row>
    <row r="34" spans="1:9" x14ac:dyDescent="0.3">
      <c r="A34" s="109"/>
      <c r="B34" s="105"/>
      <c r="C34" s="354"/>
      <c r="D34" s="354"/>
    </row>
    <row r="35" spans="1:9" s="2" customFormat="1" x14ac:dyDescent="0.3">
      <c r="A35" s="362" t="s">
        <v>922</v>
      </c>
      <c r="B35" s="363"/>
      <c r="C35" s="364">
        <f>SUM(C36:C42)</f>
        <v>560</v>
      </c>
      <c r="D35" s="365">
        <f>SUM(D36:D42)</f>
        <v>555.6</v>
      </c>
      <c r="E35" s="250">
        <f>C35-D35</f>
        <v>4.3999999999999773</v>
      </c>
      <c r="F35" s="109"/>
      <c r="G35" s="250"/>
      <c r="H35" s="109"/>
      <c r="I35" s="109"/>
    </row>
    <row r="36" spans="1:9" s="2" customFormat="1" x14ac:dyDescent="0.3">
      <c r="A36" s="358"/>
      <c r="B36" s="359" t="s">
        <v>934</v>
      </c>
      <c r="C36" s="360">
        <f>U_Kuitti_yhteis2019!F77</f>
        <v>560</v>
      </c>
      <c r="D36" s="366">
        <v>697</v>
      </c>
      <c r="E36" s="109" t="s">
        <v>936</v>
      </c>
      <c r="F36" s="109"/>
      <c r="G36" s="109"/>
      <c r="H36" s="109"/>
      <c r="I36" s="109"/>
    </row>
    <row r="37" spans="1:9" s="2" customFormat="1" x14ac:dyDescent="0.3">
      <c r="A37" s="358"/>
      <c r="B37" s="359" t="s">
        <v>748</v>
      </c>
      <c r="C37" s="360">
        <v>0</v>
      </c>
      <c r="D37" s="366">
        <f>-D36*0.2</f>
        <v>-139.4</v>
      </c>
      <c r="E37" s="109" t="s">
        <v>937</v>
      </c>
      <c r="F37" s="109"/>
      <c r="G37" s="109"/>
      <c r="H37" s="109"/>
      <c r="I37" s="109"/>
    </row>
    <row r="38" spans="1:9" s="2" customFormat="1" x14ac:dyDescent="0.3">
      <c r="A38" s="358"/>
      <c r="B38" s="359" t="s">
        <v>772</v>
      </c>
      <c r="C38" s="360">
        <v>0</v>
      </c>
      <c r="D38" s="366">
        <v>-2</v>
      </c>
      <c r="E38" s="109"/>
      <c r="F38" s="109"/>
      <c r="G38" s="109"/>
      <c r="H38" s="109"/>
      <c r="I38" s="109"/>
    </row>
    <row r="39" spans="1:9" s="2" customFormat="1" x14ac:dyDescent="0.3">
      <c r="A39" s="358"/>
      <c r="B39" s="359" t="s">
        <v>929</v>
      </c>
      <c r="C39" s="360">
        <v>0</v>
      </c>
      <c r="D39" s="366"/>
      <c r="E39" s="109"/>
      <c r="F39" s="109"/>
      <c r="G39" s="109"/>
      <c r="H39" s="109"/>
      <c r="I39" s="109"/>
    </row>
    <row r="40" spans="1:9" s="2" customFormat="1" x14ac:dyDescent="0.3">
      <c r="A40" s="358"/>
      <c r="B40" s="359" t="s">
        <v>930</v>
      </c>
      <c r="C40" s="360">
        <v>0</v>
      </c>
      <c r="D40" s="366"/>
      <c r="E40" s="109"/>
      <c r="F40" s="109"/>
      <c r="G40" s="109"/>
      <c r="H40" s="109"/>
      <c r="I40" s="109"/>
    </row>
    <row r="41" spans="1:9" s="2" customFormat="1" x14ac:dyDescent="0.3">
      <c r="A41" s="358"/>
      <c r="B41" s="359" t="s">
        <v>10</v>
      </c>
      <c r="C41" s="360">
        <v>0</v>
      </c>
      <c r="D41" s="366"/>
      <c r="E41" s="109"/>
      <c r="F41" s="109"/>
      <c r="G41" s="109"/>
      <c r="H41" s="109"/>
      <c r="I41" s="109"/>
    </row>
    <row r="42" spans="1:9" s="2" customFormat="1" x14ac:dyDescent="0.3">
      <c r="A42" s="358"/>
      <c r="B42" s="359" t="s">
        <v>2</v>
      </c>
      <c r="C42" s="360">
        <v>0</v>
      </c>
      <c r="D42" s="366"/>
      <c r="E42" s="109"/>
      <c r="F42" s="109"/>
      <c r="G42" s="109"/>
      <c r="H42" s="109"/>
      <c r="I42" s="109"/>
    </row>
    <row r="43" spans="1:9" x14ac:dyDescent="0.3">
      <c r="A43" s="109"/>
      <c r="B43" s="105"/>
      <c r="C43" s="354"/>
      <c r="D43" s="354"/>
    </row>
    <row r="44" spans="1:9" s="2" customFormat="1" x14ac:dyDescent="0.3">
      <c r="A44" s="362" t="s">
        <v>923</v>
      </c>
      <c r="B44" s="363"/>
      <c r="C44" s="364">
        <f>SUM(C45:C51)</f>
        <v>700</v>
      </c>
      <c r="D44" s="365">
        <f>SUM(D45:D51)</f>
        <v>555.6</v>
      </c>
      <c r="E44" s="250">
        <f>C44-D44</f>
        <v>144.39999999999998</v>
      </c>
      <c r="F44" s="109"/>
      <c r="G44" s="250"/>
      <c r="H44" s="109"/>
      <c r="I44" s="109"/>
    </row>
    <row r="45" spans="1:9" s="2" customFormat="1" x14ac:dyDescent="0.3">
      <c r="A45" s="358"/>
      <c r="B45" s="359" t="s">
        <v>934</v>
      </c>
      <c r="C45" s="360">
        <f>U_Kuitti_yhteis2019!F78</f>
        <v>700</v>
      </c>
      <c r="D45" s="366">
        <f>D36</f>
        <v>697</v>
      </c>
      <c r="E45" s="109"/>
      <c r="F45" s="109"/>
      <c r="G45" s="109"/>
      <c r="H45" s="109"/>
      <c r="I45" s="109"/>
    </row>
    <row r="46" spans="1:9" s="2" customFormat="1" x14ac:dyDescent="0.3">
      <c r="A46" s="358"/>
      <c r="B46" s="359" t="s">
        <v>748</v>
      </c>
      <c r="C46" s="360">
        <v>0</v>
      </c>
      <c r="D46" s="366">
        <f>-D45*0.2</f>
        <v>-139.4</v>
      </c>
      <c r="E46" s="109" t="s">
        <v>937</v>
      </c>
      <c r="F46" s="109"/>
      <c r="G46" s="109"/>
      <c r="H46" s="109"/>
      <c r="I46" s="109"/>
    </row>
    <row r="47" spans="1:9" s="2" customFormat="1" x14ac:dyDescent="0.3">
      <c r="A47" s="358"/>
      <c r="B47" s="359" t="s">
        <v>772</v>
      </c>
      <c r="C47" s="360">
        <v>0</v>
      </c>
      <c r="D47" s="366">
        <v>-2</v>
      </c>
      <c r="E47" s="109"/>
      <c r="F47" s="109"/>
      <c r="G47" s="109"/>
      <c r="H47" s="109"/>
      <c r="I47" s="109"/>
    </row>
    <row r="48" spans="1:9" s="2" customFormat="1" x14ac:dyDescent="0.3">
      <c r="A48" s="358"/>
      <c r="B48" s="359" t="s">
        <v>929</v>
      </c>
      <c r="C48" s="360">
        <v>0</v>
      </c>
      <c r="D48" s="366"/>
      <c r="E48" s="109"/>
      <c r="F48" s="109"/>
      <c r="G48" s="109"/>
      <c r="H48" s="109"/>
      <c r="I48" s="109"/>
    </row>
    <row r="49" spans="1:9" s="2" customFormat="1" x14ac:dyDescent="0.3">
      <c r="A49" s="358"/>
      <c r="B49" s="359" t="s">
        <v>930</v>
      </c>
      <c r="C49" s="360">
        <v>0</v>
      </c>
      <c r="D49" s="366"/>
      <c r="E49" s="109"/>
      <c r="F49" s="109"/>
      <c r="G49" s="109"/>
      <c r="H49" s="109"/>
      <c r="I49" s="109"/>
    </row>
    <row r="50" spans="1:9" s="2" customFormat="1" x14ac:dyDescent="0.3">
      <c r="A50" s="358"/>
      <c r="B50" s="359" t="s">
        <v>10</v>
      </c>
      <c r="C50" s="360">
        <v>0</v>
      </c>
      <c r="D50" s="366"/>
      <c r="E50" s="109"/>
      <c r="F50" s="109"/>
      <c r="G50" s="109"/>
      <c r="H50" s="109"/>
      <c r="I50" s="109"/>
    </row>
    <row r="51" spans="1:9" s="2" customFormat="1" x14ac:dyDescent="0.3">
      <c r="A51" s="358"/>
      <c r="B51" s="359" t="s">
        <v>2</v>
      </c>
      <c r="C51" s="360">
        <v>0</v>
      </c>
      <c r="D51" s="366"/>
      <c r="E51" s="109"/>
      <c r="F51" s="109"/>
      <c r="G51" s="109"/>
      <c r="H51" s="109"/>
      <c r="I51" s="109"/>
    </row>
    <row r="52" spans="1:9" x14ac:dyDescent="0.3">
      <c r="A52" s="109"/>
      <c r="B52" s="105"/>
      <c r="C52" s="354"/>
      <c r="D52" s="354"/>
    </row>
    <row r="53" spans="1:9" s="2" customFormat="1" x14ac:dyDescent="0.3">
      <c r="A53" s="362" t="s">
        <v>924</v>
      </c>
      <c r="B53" s="363"/>
      <c r="C53" s="364">
        <f>SUM(C54:C60)</f>
        <v>4250</v>
      </c>
      <c r="D53" s="365">
        <f>SUM(D54:D60)</f>
        <v>4108</v>
      </c>
      <c r="E53" s="250">
        <f>C53-D53</f>
        <v>142</v>
      </c>
      <c r="F53" s="109"/>
      <c r="G53" s="250"/>
      <c r="H53" s="109"/>
      <c r="I53" s="109"/>
    </row>
    <row r="54" spans="1:9" s="2" customFormat="1" x14ac:dyDescent="0.3">
      <c r="A54" s="358"/>
      <c r="B54" s="359" t="s">
        <v>931</v>
      </c>
      <c r="C54" s="360">
        <f>U_Kuitti_yhteis2019!F4</f>
        <v>4250</v>
      </c>
      <c r="D54" s="366">
        <v>6000</v>
      </c>
      <c r="E54" s="109"/>
      <c r="F54" s="109"/>
      <c r="G54" s="109"/>
      <c r="H54" s="109"/>
      <c r="I54" s="109"/>
    </row>
    <row r="55" spans="1:9" s="2" customFormat="1" x14ac:dyDescent="0.3">
      <c r="A55" s="358"/>
      <c r="B55" s="359" t="s">
        <v>772</v>
      </c>
      <c r="C55" s="360">
        <v>0</v>
      </c>
      <c r="D55" s="366">
        <v>-2</v>
      </c>
      <c r="E55" s="109"/>
      <c r="F55" s="109"/>
      <c r="G55" s="109"/>
      <c r="H55" s="109"/>
      <c r="I55" s="109"/>
    </row>
    <row r="56" spans="1:9" s="2" customFormat="1" x14ac:dyDescent="0.3">
      <c r="A56" s="358"/>
      <c r="B56" s="359" t="s">
        <v>748</v>
      </c>
      <c r="C56" s="360">
        <v>0</v>
      </c>
      <c r="D56" s="366">
        <f>-Palkkataulukko!H36</f>
        <v>-1770</v>
      </c>
      <c r="E56" s="109"/>
      <c r="F56" s="109"/>
      <c r="G56" s="109"/>
      <c r="H56" s="109"/>
      <c r="I56" s="109"/>
    </row>
    <row r="57" spans="1:9" s="2" customFormat="1" x14ac:dyDescent="0.3">
      <c r="A57" s="358"/>
      <c r="B57" s="359" t="s">
        <v>929</v>
      </c>
      <c r="C57" s="360">
        <v>0</v>
      </c>
      <c r="D57" s="366"/>
      <c r="E57" s="109"/>
      <c r="F57" s="109"/>
      <c r="G57" s="109"/>
      <c r="H57" s="109"/>
      <c r="I57" s="109"/>
    </row>
    <row r="58" spans="1:9" s="2" customFormat="1" x14ac:dyDescent="0.3">
      <c r="A58" s="358"/>
      <c r="B58" s="359" t="s">
        <v>930</v>
      </c>
      <c r="C58" s="360">
        <v>0</v>
      </c>
      <c r="D58" s="366"/>
      <c r="E58" s="109"/>
      <c r="F58" s="109"/>
      <c r="G58" s="109"/>
      <c r="H58" s="109"/>
      <c r="I58" s="109"/>
    </row>
    <row r="59" spans="1:9" s="2" customFormat="1" x14ac:dyDescent="0.3">
      <c r="A59" s="358"/>
      <c r="B59" s="359" t="s">
        <v>10</v>
      </c>
      <c r="C59" s="360">
        <v>0</v>
      </c>
      <c r="D59" s="366">
        <v>-100</v>
      </c>
      <c r="E59" s="109"/>
      <c r="F59" s="109"/>
      <c r="G59" s="109"/>
      <c r="H59" s="109"/>
      <c r="I59" s="109"/>
    </row>
    <row r="60" spans="1:9" s="2" customFormat="1" x14ac:dyDescent="0.3">
      <c r="A60" s="358"/>
      <c r="B60" s="359" t="s">
        <v>2</v>
      </c>
      <c r="C60" s="360">
        <v>0</v>
      </c>
      <c r="D60" s="366">
        <v>-20</v>
      </c>
      <c r="E60" s="109"/>
      <c r="F60" s="109"/>
      <c r="G60" s="109"/>
      <c r="H60" s="109"/>
      <c r="I60" s="109"/>
    </row>
    <row r="61" spans="1:9" x14ac:dyDescent="0.3">
      <c r="A61" s="109"/>
      <c r="B61" s="105"/>
      <c r="C61" s="354"/>
      <c r="D61" s="354"/>
    </row>
    <row r="62" spans="1:9" s="2" customFormat="1" x14ac:dyDescent="0.3">
      <c r="A62" s="362" t="s">
        <v>925</v>
      </c>
      <c r="B62" s="363"/>
      <c r="C62" s="364">
        <f>SUM(C63:C69)</f>
        <v>2750</v>
      </c>
      <c r="D62" s="365">
        <f>SUM(D63:D69)</f>
        <v>2675.5</v>
      </c>
      <c r="E62" s="250">
        <f>C62-D62</f>
        <v>74.5</v>
      </c>
      <c r="F62" s="109"/>
      <c r="G62" s="250"/>
      <c r="H62" s="109"/>
      <c r="I62" s="109"/>
    </row>
    <row r="63" spans="1:9" s="2" customFormat="1" x14ac:dyDescent="0.3">
      <c r="A63" s="358"/>
      <c r="B63" s="359" t="s">
        <v>931</v>
      </c>
      <c r="C63" s="360">
        <f>U_Kuitti_yhteis2019!F16</f>
        <v>2750</v>
      </c>
      <c r="D63" s="366">
        <v>3500</v>
      </c>
      <c r="E63" s="109"/>
      <c r="F63" s="109"/>
      <c r="G63" s="109"/>
      <c r="H63" s="109"/>
      <c r="I63" s="109"/>
    </row>
    <row r="64" spans="1:9" s="2" customFormat="1" x14ac:dyDescent="0.3">
      <c r="A64" s="358"/>
      <c r="B64" s="359" t="s">
        <v>772</v>
      </c>
      <c r="C64" s="360">
        <v>0</v>
      </c>
      <c r="D64" s="366">
        <v>-2</v>
      </c>
      <c r="E64" s="109"/>
      <c r="F64" s="109"/>
      <c r="G64" s="109"/>
      <c r="H64" s="109"/>
      <c r="I64" s="109"/>
    </row>
    <row r="65" spans="1:9" s="2" customFormat="1" x14ac:dyDescent="0.3">
      <c r="A65" s="358"/>
      <c r="B65" s="359" t="s">
        <v>748</v>
      </c>
      <c r="C65" s="360">
        <v>0</v>
      </c>
      <c r="D65" s="366">
        <f>-Palkkataulukko!H26</f>
        <v>-752.5</v>
      </c>
      <c r="E65" s="109"/>
      <c r="F65" s="109"/>
      <c r="G65" s="109"/>
      <c r="H65" s="109"/>
      <c r="I65" s="109"/>
    </row>
    <row r="66" spans="1:9" s="2" customFormat="1" x14ac:dyDescent="0.3">
      <c r="A66" s="358"/>
      <c r="B66" s="359" t="s">
        <v>929</v>
      </c>
      <c r="C66" s="360">
        <v>0</v>
      </c>
      <c r="D66" s="366"/>
      <c r="E66" s="109"/>
      <c r="F66" s="109"/>
      <c r="G66" s="109"/>
      <c r="H66" s="109"/>
      <c r="I66" s="109"/>
    </row>
    <row r="67" spans="1:9" s="2" customFormat="1" x14ac:dyDescent="0.3">
      <c r="A67" s="358"/>
      <c r="B67" s="359" t="s">
        <v>930</v>
      </c>
      <c r="C67" s="360">
        <v>0</v>
      </c>
      <c r="D67" s="366"/>
      <c r="E67" s="109"/>
      <c r="F67" s="109"/>
      <c r="G67" s="109"/>
      <c r="H67" s="109"/>
      <c r="I67" s="109"/>
    </row>
    <row r="68" spans="1:9" s="2" customFormat="1" x14ac:dyDescent="0.3">
      <c r="A68" s="358"/>
      <c r="B68" s="359" t="s">
        <v>10</v>
      </c>
      <c r="C68" s="360">
        <v>0</v>
      </c>
      <c r="D68" s="366">
        <v>-50</v>
      </c>
      <c r="E68" s="109"/>
      <c r="F68" s="109"/>
      <c r="G68" s="109"/>
      <c r="H68" s="109"/>
      <c r="I68" s="109"/>
    </row>
    <row r="69" spans="1:9" s="2" customFormat="1" x14ac:dyDescent="0.3">
      <c r="A69" s="358"/>
      <c r="B69" s="359" t="s">
        <v>2</v>
      </c>
      <c r="C69" s="360">
        <v>0</v>
      </c>
      <c r="D69" s="366">
        <v>-20</v>
      </c>
      <c r="E69" s="109"/>
      <c r="F69" s="109"/>
      <c r="G69" s="109"/>
      <c r="H69" s="109"/>
      <c r="I69" s="109"/>
    </row>
    <row r="70" spans="1:9" x14ac:dyDescent="0.3">
      <c r="A70" s="109"/>
      <c r="B70" s="105"/>
      <c r="C70" s="354"/>
      <c r="D70" s="354"/>
    </row>
    <row r="71" spans="1:9" s="2" customFormat="1" x14ac:dyDescent="0.3">
      <c r="A71" s="362" t="s">
        <v>926</v>
      </c>
      <c r="B71" s="363"/>
      <c r="C71" s="364">
        <f>SUM(C72:C78)</f>
        <v>2300</v>
      </c>
      <c r="D71" s="365">
        <f>SUM(D72:D78)</f>
        <v>2210.5</v>
      </c>
      <c r="E71" s="250">
        <f>C71-D71</f>
        <v>89.5</v>
      </c>
      <c r="F71" s="109"/>
      <c r="G71" s="250"/>
      <c r="H71" s="109"/>
      <c r="I71" s="109"/>
    </row>
    <row r="72" spans="1:9" s="2" customFormat="1" x14ac:dyDescent="0.3">
      <c r="A72" s="358"/>
      <c r="B72" s="359" t="s">
        <v>931</v>
      </c>
      <c r="C72" s="360">
        <f>U_Kuitti_yhteis2019!F56</f>
        <v>2300</v>
      </c>
      <c r="D72" s="366">
        <v>2750</v>
      </c>
      <c r="E72" s="109"/>
      <c r="F72" s="109"/>
      <c r="G72" s="109"/>
      <c r="H72" s="109"/>
      <c r="I72" s="109"/>
    </row>
    <row r="73" spans="1:9" s="2" customFormat="1" x14ac:dyDescent="0.3">
      <c r="A73" s="358"/>
      <c r="B73" s="359" t="s">
        <v>772</v>
      </c>
      <c r="C73" s="360">
        <v>0</v>
      </c>
      <c r="D73" s="366">
        <v>-2</v>
      </c>
      <c r="E73" s="109"/>
      <c r="F73" s="109"/>
      <c r="G73" s="109"/>
      <c r="H73" s="109"/>
      <c r="I73" s="109"/>
    </row>
    <row r="74" spans="1:9" s="2" customFormat="1" x14ac:dyDescent="0.3">
      <c r="A74" s="358"/>
      <c r="B74" s="359" t="s">
        <v>748</v>
      </c>
      <c r="C74" s="360">
        <v>0</v>
      </c>
      <c r="D74" s="366">
        <f>-Palkkataulukko!H23</f>
        <v>-467.5</v>
      </c>
      <c r="E74" s="109"/>
      <c r="F74" s="109"/>
      <c r="G74" s="109"/>
      <c r="H74" s="109"/>
      <c r="I74" s="109"/>
    </row>
    <row r="75" spans="1:9" s="2" customFormat="1" x14ac:dyDescent="0.3">
      <c r="A75" s="358"/>
      <c r="B75" s="359" t="s">
        <v>929</v>
      </c>
      <c r="C75" s="360">
        <v>0</v>
      </c>
      <c r="D75" s="366"/>
      <c r="E75" s="109"/>
      <c r="F75" s="109"/>
      <c r="G75" s="109"/>
      <c r="H75" s="109"/>
      <c r="I75" s="109"/>
    </row>
    <row r="76" spans="1:9" s="2" customFormat="1" x14ac:dyDescent="0.3">
      <c r="A76" s="358"/>
      <c r="B76" s="359" t="s">
        <v>930</v>
      </c>
      <c r="C76" s="360">
        <v>0</v>
      </c>
      <c r="D76" s="366"/>
      <c r="E76" s="109"/>
      <c r="F76" s="109"/>
      <c r="G76" s="109"/>
      <c r="H76" s="109"/>
      <c r="I76" s="109"/>
    </row>
    <row r="77" spans="1:9" s="2" customFormat="1" x14ac:dyDescent="0.3">
      <c r="A77" s="358"/>
      <c r="B77" s="359" t="s">
        <v>10</v>
      </c>
      <c r="C77" s="360">
        <v>0</v>
      </c>
      <c r="D77" s="366">
        <v>-50</v>
      </c>
      <c r="E77" s="109"/>
      <c r="F77" s="109"/>
      <c r="G77" s="109"/>
      <c r="H77" s="109"/>
      <c r="I77" s="109"/>
    </row>
    <row r="78" spans="1:9" s="2" customFormat="1" x14ac:dyDescent="0.3">
      <c r="A78" s="358"/>
      <c r="B78" s="359" t="s">
        <v>2</v>
      </c>
      <c r="C78" s="360">
        <v>0</v>
      </c>
      <c r="D78" s="366">
        <v>-20</v>
      </c>
      <c r="E78" s="109"/>
      <c r="F78" s="109"/>
      <c r="G78" s="109"/>
      <c r="H78" s="109"/>
      <c r="I78" s="109"/>
    </row>
    <row r="79" spans="1:9" x14ac:dyDescent="0.3">
      <c r="A79" s="109"/>
      <c r="B79" s="105"/>
      <c r="C79" s="354"/>
      <c r="D79" s="354"/>
    </row>
    <row r="80" spans="1:9" s="2" customFormat="1" x14ac:dyDescent="0.3">
      <c r="A80" s="362" t="s">
        <v>939</v>
      </c>
      <c r="B80" s="363"/>
      <c r="C80" s="364">
        <f>SUM(C81:C87)</f>
        <v>1000</v>
      </c>
      <c r="D80" s="365">
        <f>SUM(D81:D87)</f>
        <v>951</v>
      </c>
      <c r="E80" s="250">
        <f>C80-D80</f>
        <v>49</v>
      </c>
      <c r="F80" s="109"/>
      <c r="G80" s="250"/>
      <c r="H80" s="109"/>
      <c r="I80" s="109"/>
    </row>
    <row r="81" spans="1:11" s="2" customFormat="1" x14ac:dyDescent="0.3">
      <c r="A81" s="358"/>
      <c r="B81" s="359" t="s">
        <v>931</v>
      </c>
      <c r="C81" s="360">
        <v>1000</v>
      </c>
      <c r="D81" s="366">
        <v>1000</v>
      </c>
      <c r="E81" s="109"/>
      <c r="F81" s="109"/>
      <c r="G81" s="109"/>
      <c r="H81" s="109"/>
      <c r="I81" s="109"/>
    </row>
    <row r="82" spans="1:11" s="2" customFormat="1" x14ac:dyDescent="0.3">
      <c r="A82" s="358"/>
      <c r="B82" s="359" t="s">
        <v>772</v>
      </c>
      <c r="C82" s="360">
        <v>0</v>
      </c>
      <c r="D82" s="366">
        <v>-2</v>
      </c>
      <c r="E82" s="109"/>
      <c r="F82" s="109"/>
      <c r="G82" s="109"/>
      <c r="H82" s="109"/>
      <c r="I82" s="109"/>
    </row>
    <row r="83" spans="1:11" s="2" customFormat="1" x14ac:dyDescent="0.3">
      <c r="A83" s="358"/>
      <c r="B83" s="359" t="s">
        <v>748</v>
      </c>
      <c r="C83" s="360">
        <v>0</v>
      </c>
      <c r="D83" s="366">
        <f>-Palkkataulukko!H16</f>
        <v>-10</v>
      </c>
      <c r="E83" s="109"/>
      <c r="F83" s="109"/>
      <c r="G83" s="109"/>
      <c r="H83" s="109"/>
      <c r="I83" s="109"/>
    </row>
    <row r="84" spans="1:11" s="2" customFormat="1" x14ac:dyDescent="0.3">
      <c r="A84" s="358"/>
      <c r="B84" s="359" t="s">
        <v>929</v>
      </c>
      <c r="C84" s="360">
        <v>0</v>
      </c>
      <c r="D84" s="366"/>
      <c r="E84" s="109"/>
      <c r="F84" s="109"/>
      <c r="G84" s="109"/>
      <c r="H84" s="109"/>
      <c r="I84" s="109"/>
    </row>
    <row r="85" spans="1:11" s="2" customFormat="1" x14ac:dyDescent="0.3">
      <c r="A85" s="358"/>
      <c r="B85" s="359" t="s">
        <v>930</v>
      </c>
      <c r="C85" s="360">
        <v>0</v>
      </c>
      <c r="D85" s="366"/>
      <c r="E85" s="109"/>
      <c r="F85" s="109"/>
      <c r="G85" s="109"/>
      <c r="H85" s="109"/>
      <c r="I85" s="109"/>
      <c r="K85" s="253"/>
    </row>
    <row r="86" spans="1:11" s="2" customFormat="1" x14ac:dyDescent="0.3">
      <c r="A86" s="358"/>
      <c r="B86" s="359" t="s">
        <v>10</v>
      </c>
      <c r="C86" s="360">
        <v>0</v>
      </c>
      <c r="D86" s="366">
        <v>-17</v>
      </c>
      <c r="E86" s="109"/>
      <c r="F86" s="109"/>
      <c r="G86" s="109"/>
      <c r="H86" s="109"/>
      <c r="I86" s="109"/>
    </row>
    <row r="87" spans="1:11" s="2" customFormat="1" x14ac:dyDescent="0.3">
      <c r="A87" s="358"/>
      <c r="B87" s="359" t="s">
        <v>2</v>
      </c>
      <c r="C87" s="360">
        <v>0</v>
      </c>
      <c r="D87" s="366">
        <v>-20</v>
      </c>
      <c r="E87" s="109"/>
      <c r="F87" s="109"/>
      <c r="G87" s="109"/>
      <c r="H87" s="109"/>
      <c r="I87" s="109"/>
    </row>
    <row r="88" spans="1:11" x14ac:dyDescent="0.3">
      <c r="A88" s="109"/>
      <c r="B88" s="105"/>
      <c r="C88" s="354"/>
      <c r="D88" s="354"/>
    </row>
    <row r="89" spans="1:11" s="2" customFormat="1" x14ac:dyDescent="0.3">
      <c r="A89" s="362" t="s">
        <v>940</v>
      </c>
      <c r="B89" s="363"/>
      <c r="C89" s="364">
        <f>SUM(C90:C96)</f>
        <v>1500</v>
      </c>
      <c r="D89" s="365">
        <f>SUM(D90:D96)</f>
        <v>1371</v>
      </c>
      <c r="E89" s="250">
        <f>C89-D89</f>
        <v>129</v>
      </c>
      <c r="F89" s="109"/>
      <c r="G89" s="250">
        <v>260</v>
      </c>
      <c r="H89" s="109">
        <f>G89*12</f>
        <v>3120</v>
      </c>
      <c r="I89" s="370">
        <f>H89*Ihmismäärät!C14</f>
        <v>17103840000</v>
      </c>
      <c r="K89" s="253">
        <f>(1/0.24)*G89</f>
        <v>1083.3333333333335</v>
      </c>
    </row>
    <row r="90" spans="1:11" s="2" customFormat="1" x14ac:dyDescent="0.3">
      <c r="A90" s="358"/>
      <c r="B90" s="359" t="s">
        <v>931</v>
      </c>
      <c r="C90" s="360">
        <v>1500</v>
      </c>
      <c r="D90" s="366">
        <v>1500</v>
      </c>
      <c r="E90" s="109"/>
      <c r="F90" s="109"/>
      <c r="G90" s="109"/>
      <c r="H90" s="109"/>
      <c r="I90" s="109"/>
    </row>
    <row r="91" spans="1:11" s="2" customFormat="1" x14ac:dyDescent="0.3">
      <c r="A91" s="358"/>
      <c r="B91" s="359" t="s">
        <v>772</v>
      </c>
      <c r="C91" s="360">
        <v>0</v>
      </c>
      <c r="D91" s="366">
        <v>-2</v>
      </c>
      <c r="E91" s="109"/>
      <c r="F91" s="109"/>
      <c r="G91" s="109"/>
      <c r="H91" s="109"/>
      <c r="I91" s="109"/>
    </row>
    <row r="92" spans="1:11" s="2" customFormat="1" x14ac:dyDescent="0.3">
      <c r="A92" s="358"/>
      <c r="B92" s="359" t="s">
        <v>748</v>
      </c>
      <c r="C92" s="360">
        <v>0</v>
      </c>
      <c r="D92" s="366">
        <f>-Palkkataulukko!H18</f>
        <v>-90</v>
      </c>
      <c r="E92" s="109"/>
      <c r="F92" s="109"/>
      <c r="G92" s="109"/>
      <c r="H92" s="109"/>
      <c r="I92" s="109"/>
    </row>
    <row r="93" spans="1:11" s="2" customFormat="1" x14ac:dyDescent="0.3">
      <c r="A93" s="358"/>
      <c r="B93" s="359" t="s">
        <v>929</v>
      </c>
      <c r="C93" s="360">
        <v>0</v>
      </c>
      <c r="D93" s="366"/>
      <c r="E93" s="109"/>
      <c r="F93" s="109"/>
      <c r="G93" s="109"/>
      <c r="H93" s="109"/>
      <c r="I93" s="109"/>
    </row>
    <row r="94" spans="1:11" s="2" customFormat="1" x14ac:dyDescent="0.3">
      <c r="A94" s="358"/>
      <c r="B94" s="359" t="s">
        <v>930</v>
      </c>
      <c r="C94" s="360">
        <v>0</v>
      </c>
      <c r="D94" s="366"/>
      <c r="E94" s="109"/>
      <c r="F94" s="109"/>
      <c r="G94" s="109"/>
      <c r="H94" s="109"/>
      <c r="I94" s="109"/>
    </row>
    <row r="95" spans="1:11" s="2" customFormat="1" x14ac:dyDescent="0.3">
      <c r="A95" s="358"/>
      <c r="B95" s="359" t="s">
        <v>10</v>
      </c>
      <c r="C95" s="360">
        <v>0</v>
      </c>
      <c r="D95" s="366">
        <v>-17</v>
      </c>
      <c r="E95" s="109"/>
      <c r="F95" s="109"/>
      <c r="G95" s="109"/>
      <c r="H95" s="109"/>
      <c r="I95" s="109"/>
    </row>
    <row r="96" spans="1:11" s="2" customFormat="1" x14ac:dyDescent="0.3">
      <c r="A96" s="358"/>
      <c r="B96" s="359" t="s">
        <v>2</v>
      </c>
      <c r="C96" s="360">
        <v>0</v>
      </c>
      <c r="D96" s="366">
        <v>-20</v>
      </c>
      <c r="E96" s="109"/>
      <c r="F96" s="109"/>
      <c r="G96" s="109"/>
      <c r="H96" s="109"/>
      <c r="I96" s="109"/>
    </row>
    <row r="97" spans="1:9" x14ac:dyDescent="0.3">
      <c r="A97" s="109"/>
      <c r="B97" s="105"/>
      <c r="C97" s="354"/>
      <c r="D97" s="354"/>
    </row>
    <row r="98" spans="1:9" s="2" customFormat="1" x14ac:dyDescent="0.3">
      <c r="A98" s="362" t="s">
        <v>941</v>
      </c>
      <c r="B98" s="363"/>
      <c r="C98" s="364">
        <f>SUM(C99:C105)</f>
        <v>2000</v>
      </c>
      <c r="D98" s="365">
        <f>SUM(D99:D105)</f>
        <v>1731</v>
      </c>
      <c r="E98" s="250">
        <f>C98-D98</f>
        <v>269</v>
      </c>
      <c r="F98" s="109"/>
      <c r="G98" s="250"/>
      <c r="H98" s="109"/>
      <c r="I98" s="109"/>
    </row>
    <row r="99" spans="1:9" s="2" customFormat="1" x14ac:dyDescent="0.3">
      <c r="A99" s="358"/>
      <c r="B99" s="359" t="s">
        <v>931</v>
      </c>
      <c r="C99" s="360">
        <v>2000</v>
      </c>
      <c r="D99" s="366">
        <f>C99</f>
        <v>2000</v>
      </c>
      <c r="E99" s="109"/>
      <c r="F99" s="109"/>
      <c r="G99" s="109"/>
      <c r="H99" s="109"/>
      <c r="I99" s="109"/>
    </row>
    <row r="100" spans="1:9" s="2" customFormat="1" x14ac:dyDescent="0.3">
      <c r="A100" s="358"/>
      <c r="B100" s="359" t="s">
        <v>772</v>
      </c>
      <c r="C100" s="360">
        <v>0</v>
      </c>
      <c r="D100" s="366">
        <v>-2</v>
      </c>
      <c r="E100" s="109"/>
      <c r="F100" s="109"/>
      <c r="G100" s="109"/>
      <c r="H100" s="109"/>
      <c r="I100" s="109"/>
    </row>
    <row r="101" spans="1:9" s="2" customFormat="1" x14ac:dyDescent="0.3">
      <c r="A101" s="358"/>
      <c r="B101" s="359" t="s">
        <v>748</v>
      </c>
      <c r="C101" s="360">
        <v>0</v>
      </c>
      <c r="D101" s="366">
        <f>-Palkkataulukko!H20</f>
        <v>-230</v>
      </c>
      <c r="E101" s="109"/>
      <c r="F101" s="109"/>
      <c r="G101" s="109"/>
      <c r="H101" s="109"/>
      <c r="I101" s="109"/>
    </row>
    <row r="102" spans="1:9" s="2" customFormat="1" x14ac:dyDescent="0.3">
      <c r="A102" s="358"/>
      <c r="B102" s="359" t="s">
        <v>929</v>
      </c>
      <c r="C102" s="360">
        <v>0</v>
      </c>
      <c r="D102" s="366"/>
      <c r="E102" s="109"/>
      <c r="F102" s="109"/>
      <c r="G102" s="109"/>
      <c r="H102" s="109"/>
      <c r="I102" s="109"/>
    </row>
    <row r="103" spans="1:9" s="2" customFormat="1" x14ac:dyDescent="0.3">
      <c r="A103" s="358"/>
      <c r="B103" s="359" t="s">
        <v>930</v>
      </c>
      <c r="C103" s="360">
        <v>0</v>
      </c>
      <c r="D103" s="366"/>
      <c r="E103" s="109"/>
      <c r="F103" s="109"/>
      <c r="G103" s="109"/>
      <c r="H103" s="109"/>
      <c r="I103" s="109"/>
    </row>
    <row r="104" spans="1:9" s="2" customFormat="1" x14ac:dyDescent="0.3">
      <c r="A104" s="358"/>
      <c r="B104" s="359" t="s">
        <v>10</v>
      </c>
      <c r="C104" s="360">
        <v>0</v>
      </c>
      <c r="D104" s="366">
        <v>-17</v>
      </c>
      <c r="E104" s="109"/>
      <c r="F104" s="109"/>
      <c r="G104" s="109"/>
      <c r="H104" s="109"/>
      <c r="I104" s="109"/>
    </row>
    <row r="105" spans="1:9" s="2" customFormat="1" x14ac:dyDescent="0.3">
      <c r="A105" s="358"/>
      <c r="B105" s="359" t="s">
        <v>2</v>
      </c>
      <c r="C105" s="360">
        <v>0</v>
      </c>
      <c r="D105" s="366">
        <v>-20</v>
      </c>
      <c r="E105" s="109"/>
      <c r="F105" s="109"/>
      <c r="G105" s="109"/>
      <c r="H105" s="109"/>
      <c r="I105" s="109"/>
    </row>
    <row r="106" spans="1:9" x14ac:dyDescent="0.3">
      <c r="A106" s="109"/>
      <c r="B106" s="105"/>
      <c r="C106" s="354"/>
      <c r="D106" s="354"/>
    </row>
    <row r="107" spans="1:9" s="2" customFormat="1" x14ac:dyDescent="0.3">
      <c r="A107" s="362" t="s">
        <v>942</v>
      </c>
      <c r="B107" s="363"/>
      <c r="C107" s="364">
        <f>SUM(C108:C114)</f>
        <v>2500</v>
      </c>
      <c r="D107" s="365">
        <f>SUM(D108:D114)</f>
        <v>2040.5</v>
      </c>
      <c r="E107" s="250">
        <f>C107-D107</f>
        <v>459.5</v>
      </c>
      <c r="F107" s="109"/>
      <c r="G107" s="250"/>
      <c r="H107" s="109"/>
      <c r="I107" s="109"/>
    </row>
    <row r="108" spans="1:9" s="2" customFormat="1" x14ac:dyDescent="0.3">
      <c r="A108" s="358"/>
      <c r="B108" s="359" t="s">
        <v>931</v>
      </c>
      <c r="C108" s="360">
        <v>2500</v>
      </c>
      <c r="D108" s="366">
        <f>C108</f>
        <v>2500</v>
      </c>
      <c r="E108" s="109"/>
      <c r="F108" s="109"/>
      <c r="G108" s="109"/>
      <c r="H108" s="109"/>
      <c r="I108" s="109"/>
    </row>
    <row r="109" spans="1:9" s="2" customFormat="1" x14ac:dyDescent="0.3">
      <c r="A109" s="358"/>
      <c r="B109" s="359" t="s">
        <v>772</v>
      </c>
      <c r="C109" s="360">
        <v>0</v>
      </c>
      <c r="D109" s="366">
        <v>-2</v>
      </c>
      <c r="E109" s="109"/>
      <c r="F109" s="109"/>
      <c r="G109" s="109"/>
      <c r="H109" s="109"/>
      <c r="I109" s="109"/>
    </row>
    <row r="110" spans="1:9" s="2" customFormat="1" x14ac:dyDescent="0.3">
      <c r="A110" s="358"/>
      <c r="B110" s="359" t="s">
        <v>748</v>
      </c>
      <c r="C110" s="360">
        <v>0</v>
      </c>
      <c r="D110" s="366">
        <f>-Palkkataulukko!H22</f>
        <v>-387.5</v>
      </c>
      <c r="E110" s="109"/>
      <c r="F110" s="109"/>
      <c r="G110" s="109"/>
      <c r="H110" s="109"/>
      <c r="I110" s="109"/>
    </row>
    <row r="111" spans="1:9" s="2" customFormat="1" x14ac:dyDescent="0.3">
      <c r="A111" s="358"/>
      <c r="B111" s="359" t="s">
        <v>929</v>
      </c>
      <c r="C111" s="360">
        <v>0</v>
      </c>
      <c r="D111" s="366"/>
      <c r="E111" s="109"/>
      <c r="F111" s="109"/>
      <c r="G111" s="109"/>
      <c r="H111" s="109"/>
      <c r="I111" s="109"/>
    </row>
    <row r="112" spans="1:9" s="2" customFormat="1" x14ac:dyDescent="0.3">
      <c r="A112" s="358"/>
      <c r="B112" s="359" t="s">
        <v>930</v>
      </c>
      <c r="C112" s="360">
        <v>0</v>
      </c>
      <c r="D112" s="366"/>
      <c r="E112" s="109"/>
      <c r="F112" s="109"/>
      <c r="G112" s="109"/>
      <c r="H112" s="109"/>
      <c r="I112" s="109"/>
    </row>
    <row r="113" spans="1:11" s="2" customFormat="1" x14ac:dyDescent="0.3">
      <c r="A113" s="358"/>
      <c r="B113" s="359" t="s">
        <v>10</v>
      </c>
      <c r="C113" s="360">
        <v>0</v>
      </c>
      <c r="D113" s="366">
        <f>-Palkkataulukko!C52</f>
        <v>-50</v>
      </c>
      <c r="E113" s="109"/>
      <c r="F113" s="109"/>
      <c r="G113" s="109"/>
      <c r="H113" s="109"/>
      <c r="I113" s="109"/>
    </row>
    <row r="114" spans="1:11" s="2" customFormat="1" x14ac:dyDescent="0.3">
      <c r="A114" s="358"/>
      <c r="B114" s="359" t="s">
        <v>2</v>
      </c>
      <c r="C114" s="360">
        <v>0</v>
      </c>
      <c r="D114" s="366">
        <v>-20</v>
      </c>
      <c r="E114" s="109"/>
      <c r="F114" s="109"/>
      <c r="G114" s="109"/>
      <c r="H114" s="109"/>
      <c r="I114" s="109"/>
      <c r="J114" s="2">
        <f>J116*I116*H116</f>
        <v>150</v>
      </c>
    </row>
    <row r="115" spans="1:11" x14ac:dyDescent="0.3">
      <c r="A115" s="109"/>
      <c r="B115" s="105"/>
      <c r="C115" s="354"/>
      <c r="D115" s="354"/>
    </row>
    <row r="116" spans="1:11" s="2" customFormat="1" x14ac:dyDescent="0.3">
      <c r="A116" s="362" t="s">
        <v>943</v>
      </c>
      <c r="B116" s="363"/>
      <c r="C116" s="364">
        <f>SUM(C117:C123)</f>
        <v>3000</v>
      </c>
      <c r="D116" s="365">
        <f>SUM(D117:D123)</f>
        <v>2373</v>
      </c>
      <c r="E116" s="250">
        <f>C116-D116</f>
        <v>627</v>
      </c>
      <c r="F116" s="109"/>
      <c r="G116" s="371">
        <v>20</v>
      </c>
      <c r="H116" s="372">
        <v>7.5</v>
      </c>
      <c r="I116" s="109">
        <v>5</v>
      </c>
      <c r="J116" s="2">
        <v>4</v>
      </c>
      <c r="K116" s="2">
        <f>G116*H116*I116*J116</f>
        <v>3000</v>
      </c>
    </row>
    <row r="117" spans="1:11" s="2" customFormat="1" x14ac:dyDescent="0.3">
      <c r="A117" s="358"/>
      <c r="B117" s="359" t="s">
        <v>931</v>
      </c>
      <c r="C117" s="360">
        <v>3000</v>
      </c>
      <c r="D117" s="366">
        <f>C117</f>
        <v>3000</v>
      </c>
      <c r="E117" s="109"/>
      <c r="F117" s="109"/>
      <c r="G117" s="109"/>
      <c r="H117" s="372">
        <f>E116/G116</f>
        <v>31.35</v>
      </c>
      <c r="I117" s="109"/>
    </row>
    <row r="118" spans="1:11" s="2" customFormat="1" x14ac:dyDescent="0.3">
      <c r="A118" s="358"/>
      <c r="B118" s="359" t="s">
        <v>772</v>
      </c>
      <c r="C118" s="360">
        <v>0</v>
      </c>
      <c r="D118" s="366">
        <v>-2</v>
      </c>
      <c r="E118" s="109"/>
      <c r="F118" s="109"/>
      <c r="G118" s="109"/>
      <c r="H118" s="109"/>
      <c r="I118" s="109"/>
    </row>
    <row r="119" spans="1:11" s="2" customFormat="1" x14ac:dyDescent="0.3">
      <c r="A119" s="358"/>
      <c r="B119" s="359" t="s">
        <v>748</v>
      </c>
      <c r="C119" s="360">
        <v>0</v>
      </c>
      <c r="D119" s="366">
        <f>-Palkkataulukko!H24</f>
        <v>-555</v>
      </c>
      <c r="E119" s="109"/>
      <c r="F119" s="109"/>
      <c r="G119" s="252">
        <f>H117/J114</f>
        <v>0.20900000000000002</v>
      </c>
      <c r="H119" s="109"/>
      <c r="I119" s="109"/>
    </row>
    <row r="120" spans="1:11" s="2" customFormat="1" x14ac:dyDescent="0.3">
      <c r="A120" s="358"/>
      <c r="B120" s="359" t="s">
        <v>929</v>
      </c>
      <c r="C120" s="360">
        <v>0</v>
      </c>
      <c r="D120" s="366"/>
      <c r="E120" s="109"/>
      <c r="F120" s="109"/>
      <c r="G120" s="109"/>
      <c r="H120" s="109"/>
      <c r="I120" s="109"/>
    </row>
    <row r="121" spans="1:11" s="2" customFormat="1" x14ac:dyDescent="0.3">
      <c r="A121" s="358"/>
      <c r="B121" s="359" t="s">
        <v>930</v>
      </c>
      <c r="C121" s="360">
        <v>0</v>
      </c>
      <c r="D121" s="366"/>
      <c r="E121" s="109"/>
      <c r="F121" s="109"/>
      <c r="G121" s="109"/>
      <c r="H121" s="109"/>
      <c r="I121" s="109"/>
    </row>
    <row r="122" spans="1:11" s="2" customFormat="1" x14ac:dyDescent="0.3">
      <c r="A122" s="358"/>
      <c r="B122" s="359" t="s">
        <v>10</v>
      </c>
      <c r="C122" s="360">
        <v>0</v>
      </c>
      <c r="D122" s="366">
        <f>-Palkkataulukko!C52</f>
        <v>-50</v>
      </c>
      <c r="E122" s="109"/>
      <c r="F122" s="109"/>
      <c r="G122" s="109"/>
      <c r="H122" s="109"/>
      <c r="I122" s="109"/>
    </row>
    <row r="123" spans="1:11" s="2" customFormat="1" x14ac:dyDescent="0.3">
      <c r="A123" s="358"/>
      <c r="B123" s="359" t="s">
        <v>2</v>
      </c>
      <c r="C123" s="360">
        <v>0</v>
      </c>
      <c r="D123" s="366">
        <v>-20</v>
      </c>
      <c r="E123" s="109"/>
      <c r="F123" s="109"/>
      <c r="G123" s="109"/>
      <c r="H123" s="109"/>
      <c r="I123" s="109"/>
    </row>
    <row r="124" spans="1:11" x14ac:dyDescent="0.3">
      <c r="A124" s="109"/>
      <c r="B124" s="105"/>
      <c r="C124" s="354"/>
      <c r="D124" s="354"/>
    </row>
    <row r="125" spans="1:11" s="2" customFormat="1" x14ac:dyDescent="0.3">
      <c r="A125" s="362" t="s">
        <v>944</v>
      </c>
      <c r="B125" s="363"/>
      <c r="C125" s="364">
        <f>SUM(C126:C132)</f>
        <v>3500</v>
      </c>
      <c r="D125" s="365">
        <f>SUM(D126:D132)</f>
        <v>2625.5</v>
      </c>
      <c r="E125" s="250">
        <f>C125-D125</f>
        <v>874.5</v>
      </c>
      <c r="F125" s="109"/>
      <c r="G125" s="250"/>
      <c r="H125" s="109"/>
      <c r="I125" s="109"/>
    </row>
    <row r="126" spans="1:11" s="2" customFormat="1" x14ac:dyDescent="0.3">
      <c r="A126" s="358"/>
      <c r="B126" s="359" t="s">
        <v>931</v>
      </c>
      <c r="C126" s="360">
        <v>3500</v>
      </c>
      <c r="D126" s="366">
        <f>C126</f>
        <v>3500</v>
      </c>
      <c r="E126" s="109"/>
      <c r="F126" s="109"/>
      <c r="G126" s="109"/>
      <c r="H126" s="109"/>
      <c r="I126" s="109"/>
    </row>
    <row r="127" spans="1:11" s="2" customFormat="1" x14ac:dyDescent="0.3">
      <c r="A127" s="358"/>
      <c r="B127" s="359" t="s">
        <v>772</v>
      </c>
      <c r="C127" s="360">
        <v>0</v>
      </c>
      <c r="D127" s="366">
        <v>-2</v>
      </c>
      <c r="E127" s="109"/>
      <c r="F127" s="109"/>
      <c r="G127" s="109"/>
      <c r="H127" s="109"/>
      <c r="I127" s="109"/>
    </row>
    <row r="128" spans="1:11" s="2" customFormat="1" x14ac:dyDescent="0.3">
      <c r="A128" s="358"/>
      <c r="B128" s="359" t="s">
        <v>748</v>
      </c>
      <c r="C128" s="360">
        <v>0</v>
      </c>
      <c r="D128" s="366">
        <f>-Palkkataulukko!H26</f>
        <v>-752.5</v>
      </c>
      <c r="E128" s="109"/>
      <c r="F128" s="109"/>
      <c r="G128" s="109"/>
      <c r="H128" s="109"/>
      <c r="I128" s="109"/>
    </row>
    <row r="129" spans="1:14" s="2" customFormat="1" x14ac:dyDescent="0.3">
      <c r="A129" s="358"/>
      <c r="B129" s="359" t="s">
        <v>929</v>
      </c>
      <c r="C129" s="360">
        <v>0</v>
      </c>
      <c r="D129" s="366"/>
      <c r="E129" s="109"/>
      <c r="F129" s="109"/>
      <c r="G129" s="109"/>
      <c r="H129" s="109"/>
      <c r="I129" s="109"/>
    </row>
    <row r="130" spans="1:14" s="2" customFormat="1" x14ac:dyDescent="0.3">
      <c r="A130" s="358"/>
      <c r="B130" s="359" t="s">
        <v>930</v>
      </c>
      <c r="C130" s="360">
        <v>0</v>
      </c>
      <c r="D130" s="366"/>
      <c r="E130" s="109"/>
      <c r="F130" s="109"/>
      <c r="G130" s="109"/>
      <c r="H130" s="109"/>
      <c r="I130" s="109"/>
    </row>
    <row r="131" spans="1:14" s="2" customFormat="1" x14ac:dyDescent="0.3">
      <c r="A131" s="358"/>
      <c r="B131" s="359" t="s">
        <v>10</v>
      </c>
      <c r="C131" s="360">
        <v>0</v>
      </c>
      <c r="D131" s="366">
        <f>-Palkkataulukko!C58</f>
        <v>-100</v>
      </c>
      <c r="E131" s="109"/>
      <c r="F131" s="109"/>
      <c r="G131" s="109"/>
      <c r="H131" s="109"/>
      <c r="I131" s="109"/>
    </row>
    <row r="132" spans="1:14" s="2" customFormat="1" x14ac:dyDescent="0.3">
      <c r="A132" s="358"/>
      <c r="B132" s="359" t="s">
        <v>2</v>
      </c>
      <c r="C132" s="360">
        <v>0</v>
      </c>
      <c r="D132" s="366">
        <v>-20</v>
      </c>
      <c r="E132" s="109"/>
      <c r="F132" s="109"/>
      <c r="G132" s="109"/>
      <c r="H132" s="109"/>
      <c r="I132" s="109"/>
    </row>
    <row r="133" spans="1:14" x14ac:dyDescent="0.3">
      <c r="A133" s="109"/>
      <c r="B133" s="105"/>
      <c r="C133" s="354"/>
      <c r="D133" s="354"/>
    </row>
    <row r="134" spans="1:14" s="2" customFormat="1" x14ac:dyDescent="0.3">
      <c r="A134" s="362" t="s">
        <v>945</v>
      </c>
      <c r="B134" s="363"/>
      <c r="C134" s="364">
        <f>SUM(C135:C141)</f>
        <v>4000</v>
      </c>
      <c r="D134" s="365">
        <f>SUM(D135:D141)</f>
        <v>2918</v>
      </c>
      <c r="E134" s="250">
        <f>C134-D134</f>
        <v>1082</v>
      </c>
      <c r="F134" s="109"/>
      <c r="G134" s="250"/>
      <c r="H134" s="109"/>
      <c r="I134" s="109"/>
    </row>
    <row r="135" spans="1:14" s="2" customFormat="1" x14ac:dyDescent="0.3">
      <c r="A135" s="358"/>
      <c r="B135" s="359" t="s">
        <v>931</v>
      </c>
      <c r="C135" s="360">
        <v>4000</v>
      </c>
      <c r="D135" s="366">
        <f>C135</f>
        <v>4000</v>
      </c>
      <c r="E135" s="109"/>
      <c r="F135" s="109"/>
      <c r="G135" s="109"/>
      <c r="H135" s="109"/>
      <c r="I135" s="109"/>
      <c r="K135" s="2">
        <v>10</v>
      </c>
    </row>
    <row r="136" spans="1:14" s="2" customFormat="1" x14ac:dyDescent="0.3">
      <c r="A136" s="358"/>
      <c r="B136" s="359" t="s">
        <v>772</v>
      </c>
      <c r="C136" s="360">
        <v>0</v>
      </c>
      <c r="D136" s="366">
        <v>-2</v>
      </c>
      <c r="E136" s="109"/>
      <c r="F136" s="109"/>
      <c r="G136" s="109"/>
      <c r="H136" s="109"/>
      <c r="I136" s="109"/>
      <c r="K136" s="2">
        <v>5</v>
      </c>
    </row>
    <row r="137" spans="1:14" s="2" customFormat="1" x14ac:dyDescent="0.3">
      <c r="A137" s="358"/>
      <c r="B137" s="359" t="s">
        <v>748</v>
      </c>
      <c r="C137" s="360">
        <v>0</v>
      </c>
      <c r="D137" s="366">
        <f>-Palkkataulukko!H28</f>
        <v>-960</v>
      </c>
      <c r="E137" s="109"/>
      <c r="F137" s="109"/>
      <c r="G137" s="109"/>
      <c r="H137" s="109"/>
      <c r="I137" s="109"/>
      <c r="K137">
        <v>5</v>
      </c>
      <c r="L137"/>
      <c r="M137"/>
      <c r="N137">
        <v>25</v>
      </c>
    </row>
    <row r="138" spans="1:14" s="2" customFormat="1" x14ac:dyDescent="0.3">
      <c r="A138" s="358"/>
      <c r="B138" s="359" t="s">
        <v>929</v>
      </c>
      <c r="C138" s="360">
        <v>0</v>
      </c>
      <c r="D138" s="366"/>
      <c r="E138" s="109"/>
      <c r="F138" s="109"/>
      <c r="G138" s="109"/>
      <c r="H138" s="109"/>
      <c r="I138" s="109"/>
      <c r="K138" s="2">
        <v>4</v>
      </c>
      <c r="N138" s="2">
        <v>6</v>
      </c>
    </row>
    <row r="139" spans="1:14" s="2" customFormat="1" x14ac:dyDescent="0.3">
      <c r="A139" s="358"/>
      <c r="B139" s="359" t="s">
        <v>930</v>
      </c>
      <c r="C139" s="360">
        <v>0</v>
      </c>
      <c r="D139" s="366"/>
      <c r="E139" s="109"/>
      <c r="F139" s="109"/>
      <c r="G139" s="109"/>
      <c r="H139" s="109"/>
      <c r="I139" s="109"/>
      <c r="K139" s="2">
        <f>K135*K136*K137*K138</f>
        <v>1000</v>
      </c>
      <c r="N139" s="2">
        <v>4</v>
      </c>
    </row>
    <row r="140" spans="1:14" s="2" customFormat="1" x14ac:dyDescent="0.3">
      <c r="A140" s="358"/>
      <c r="B140" s="359" t="s">
        <v>10</v>
      </c>
      <c r="C140" s="360">
        <v>0</v>
      </c>
      <c r="D140" s="366">
        <f>-Palkkataulukko!C58</f>
        <v>-100</v>
      </c>
      <c r="E140" s="109"/>
      <c r="F140" s="109"/>
      <c r="G140" s="109"/>
      <c r="H140" s="109"/>
      <c r="I140" s="109"/>
      <c r="N140" s="2">
        <f>N137*N138*N139</f>
        <v>600</v>
      </c>
    </row>
    <row r="141" spans="1:14" s="2" customFormat="1" x14ac:dyDescent="0.3">
      <c r="A141" s="358"/>
      <c r="B141" s="359" t="s">
        <v>2</v>
      </c>
      <c r="C141" s="360">
        <v>0</v>
      </c>
      <c r="D141" s="366">
        <v>-20</v>
      </c>
      <c r="E141" s="109"/>
      <c r="F141" s="109"/>
      <c r="G141" s="109"/>
      <c r="H141" s="109"/>
      <c r="I141" s="109"/>
    </row>
    <row r="142" spans="1:14" x14ac:dyDescent="0.3">
      <c r="A142" s="109"/>
      <c r="B142" s="105"/>
      <c r="C142" s="354"/>
      <c r="D142" s="354"/>
    </row>
    <row r="143" spans="1:14" s="2" customFormat="1" x14ac:dyDescent="0.3">
      <c r="A143" s="362" t="s">
        <v>955</v>
      </c>
      <c r="B143" s="363"/>
      <c r="C143" s="364">
        <f>SUM(C144:C150)</f>
        <v>1434</v>
      </c>
      <c r="D143" s="365">
        <f>SUM(D144:D150)</f>
        <v>1191.07</v>
      </c>
      <c r="E143" s="250">
        <f>C143-D143</f>
        <v>242.93000000000006</v>
      </c>
      <c r="F143" s="109"/>
      <c r="G143" s="250"/>
      <c r="H143" s="109"/>
      <c r="I143" s="109"/>
      <c r="J143" s="2" t="s">
        <v>956</v>
      </c>
    </row>
    <row r="144" spans="1:14" s="2" customFormat="1" x14ac:dyDescent="0.3">
      <c r="A144" s="358"/>
      <c r="B144" s="359" t="s">
        <v>931</v>
      </c>
      <c r="C144" s="360">
        <v>1434</v>
      </c>
      <c r="D144" s="366">
        <f>C144</f>
        <v>1434</v>
      </c>
      <c r="E144" s="109"/>
      <c r="F144" s="109"/>
      <c r="G144" s="109"/>
      <c r="H144" s="109"/>
      <c r="I144" s="109"/>
    </row>
    <row r="145" spans="1:14" s="2" customFormat="1" x14ac:dyDescent="0.3">
      <c r="A145" s="358"/>
      <c r="B145" s="359" t="s">
        <v>772</v>
      </c>
      <c r="C145" s="360">
        <v>0</v>
      </c>
      <c r="D145" s="366">
        <v>-2</v>
      </c>
      <c r="E145" s="109"/>
      <c r="F145" s="109"/>
      <c r="G145" s="109"/>
      <c r="H145" s="109"/>
      <c r="I145" s="109"/>
    </row>
    <row r="146" spans="1:14" s="2" customFormat="1" x14ac:dyDescent="0.3">
      <c r="A146" s="358"/>
      <c r="B146" s="359" t="s">
        <v>748</v>
      </c>
      <c r="C146" s="360">
        <v>0</v>
      </c>
      <c r="D146" s="366">
        <f>-D144*0.145</f>
        <v>-207.92999999999998</v>
      </c>
      <c r="E146" s="109"/>
      <c r="F146" s="109"/>
      <c r="G146" s="109"/>
      <c r="H146" s="109"/>
      <c r="I146" s="109"/>
    </row>
    <row r="147" spans="1:14" s="2" customFormat="1" x14ac:dyDescent="0.3">
      <c r="A147" s="358"/>
      <c r="B147" s="359" t="s">
        <v>929</v>
      </c>
      <c r="C147" s="360">
        <v>0</v>
      </c>
      <c r="D147" s="366"/>
      <c r="E147" s="109"/>
      <c r="F147" s="109"/>
      <c r="G147" s="109"/>
      <c r="H147" s="109"/>
      <c r="I147" s="109"/>
    </row>
    <row r="148" spans="1:14" s="2" customFormat="1" x14ac:dyDescent="0.3">
      <c r="A148" s="358"/>
      <c r="B148" s="359" t="s">
        <v>930</v>
      </c>
      <c r="C148" s="360">
        <v>0</v>
      </c>
      <c r="D148" s="366"/>
      <c r="E148" s="109"/>
      <c r="F148" s="109"/>
      <c r="G148" s="109"/>
      <c r="H148" s="109"/>
      <c r="I148" s="109"/>
    </row>
    <row r="149" spans="1:14" s="2" customFormat="1" x14ac:dyDescent="0.3">
      <c r="A149" s="358"/>
      <c r="B149" s="359" t="s">
        <v>10</v>
      </c>
      <c r="C149" s="360">
        <v>0</v>
      </c>
      <c r="D149" s="366">
        <v>-33</v>
      </c>
      <c r="E149" s="109"/>
      <c r="F149" s="109"/>
      <c r="G149" s="109"/>
      <c r="H149" s="109"/>
      <c r="I149" s="109"/>
    </row>
    <row r="150" spans="1:14" s="2" customFormat="1" x14ac:dyDescent="0.3">
      <c r="A150" s="358"/>
      <c r="B150" s="359" t="s">
        <v>2</v>
      </c>
      <c r="C150" s="360">
        <v>0</v>
      </c>
      <c r="D150" s="366"/>
      <c r="E150" s="109"/>
      <c r="F150" s="109"/>
      <c r="G150" s="109"/>
      <c r="H150" s="109"/>
      <c r="I150" s="109"/>
    </row>
    <row r="151" spans="1:14" x14ac:dyDescent="0.3">
      <c r="A151" s="109"/>
      <c r="B151" s="105"/>
      <c r="C151" s="354"/>
      <c r="D151" s="354"/>
    </row>
    <row r="152" spans="1:14" s="2" customFormat="1" x14ac:dyDescent="0.3">
      <c r="A152" s="362" t="s">
        <v>946</v>
      </c>
      <c r="B152" s="363"/>
      <c r="C152" s="364">
        <f>C153+C159+C160</f>
        <v>1860</v>
      </c>
      <c r="D152" s="365">
        <f>D153+D159+D160</f>
        <v>1550.7666666666669</v>
      </c>
      <c r="E152" s="250">
        <f>C152-D152</f>
        <v>309.23333333333312</v>
      </c>
      <c r="F152" s="109"/>
      <c r="G152" s="250"/>
      <c r="H152" s="109"/>
      <c r="I152" s="109"/>
    </row>
    <row r="153" spans="1:14" s="2" customFormat="1" x14ac:dyDescent="0.3">
      <c r="A153" s="358"/>
      <c r="B153" s="359" t="s">
        <v>947</v>
      </c>
      <c r="C153" s="360">
        <f>SUM(C154:C158)</f>
        <v>1000</v>
      </c>
      <c r="D153" s="366">
        <f>SUM(D154:D158)</f>
        <v>890.16666666666674</v>
      </c>
      <c r="E153" s="109"/>
      <c r="F153" s="109"/>
      <c r="G153" s="109"/>
      <c r="H153" s="109"/>
      <c r="I153" s="109"/>
    </row>
    <row r="154" spans="1:14" s="2" customFormat="1" x14ac:dyDescent="0.3">
      <c r="A154" s="358"/>
      <c r="B154" s="374" t="s">
        <v>957</v>
      </c>
      <c r="C154" s="360">
        <v>700</v>
      </c>
      <c r="D154" s="366">
        <f>C154*0.98</f>
        <v>686</v>
      </c>
      <c r="E154" s="109"/>
      <c r="F154" s="109"/>
      <c r="G154" s="109"/>
      <c r="H154" s="109"/>
      <c r="I154" s="109"/>
    </row>
    <row r="155" spans="1:14" s="2" customFormat="1" x14ac:dyDescent="0.3">
      <c r="A155" s="358"/>
      <c r="B155" s="374" t="s">
        <v>958</v>
      </c>
      <c r="C155" s="360">
        <v>300</v>
      </c>
      <c r="D155" s="366">
        <v>275</v>
      </c>
      <c r="E155" s="109"/>
      <c r="F155" s="109"/>
      <c r="G155" s="109"/>
      <c r="H155" s="109"/>
      <c r="I155" s="109"/>
      <c r="L155" s="2">
        <v>1000</v>
      </c>
      <c r="M155" s="2">
        <v>3.1E-2</v>
      </c>
      <c r="N155" s="2">
        <f>L155*M155</f>
        <v>31</v>
      </c>
    </row>
    <row r="156" spans="1:14" s="2" customFormat="1" x14ac:dyDescent="0.3">
      <c r="A156" s="358"/>
      <c r="B156" s="374" t="s">
        <v>959</v>
      </c>
      <c r="C156" s="360">
        <v>0</v>
      </c>
      <c r="D156" s="366">
        <f>-200/12</f>
        <v>-16.666666666666668</v>
      </c>
      <c r="E156" s="109"/>
      <c r="F156" s="109"/>
      <c r="G156" s="109"/>
      <c r="H156" s="109"/>
      <c r="I156" s="109"/>
      <c r="L156" s="2">
        <v>1434</v>
      </c>
      <c r="M156" s="2">
        <v>0.14499999999999999</v>
      </c>
      <c r="N156" s="2">
        <f>L156*M156</f>
        <v>207.92999999999998</v>
      </c>
    </row>
    <row r="157" spans="1:14" s="2" customFormat="1" x14ac:dyDescent="0.3">
      <c r="A157" s="358"/>
      <c r="B157" s="374" t="s">
        <v>960</v>
      </c>
      <c r="C157" s="360">
        <v>0</v>
      </c>
      <c r="D157" s="366">
        <v>-50</v>
      </c>
      <c r="E157" s="109"/>
      <c r="F157" s="109"/>
      <c r="G157" s="109"/>
      <c r="H157" s="109"/>
      <c r="I157" s="109"/>
      <c r="L157" s="2">
        <v>1656</v>
      </c>
      <c r="M157" s="2">
        <v>0.17499999999999999</v>
      </c>
      <c r="N157" s="2">
        <f>L157*M157</f>
        <v>289.79999999999995</v>
      </c>
    </row>
    <row r="158" spans="1:14" s="2" customFormat="1" x14ac:dyDescent="0.3">
      <c r="A158" s="358"/>
      <c r="B158" s="374" t="s">
        <v>961</v>
      </c>
      <c r="C158" s="360">
        <v>0</v>
      </c>
      <c r="D158" s="366">
        <f>-50/12</f>
        <v>-4.166666666666667</v>
      </c>
      <c r="E158" s="109"/>
      <c r="F158" s="109"/>
      <c r="G158" s="109"/>
      <c r="H158" s="109"/>
      <c r="I158" s="109"/>
    </row>
    <row r="159" spans="1:14" s="2" customFormat="1" x14ac:dyDescent="0.3">
      <c r="A159" s="358"/>
      <c r="B159" s="359" t="s">
        <v>948</v>
      </c>
      <c r="C159" s="360">
        <f>C36</f>
        <v>560</v>
      </c>
      <c r="D159" s="366">
        <f>D35</f>
        <v>555.6</v>
      </c>
      <c r="E159" s="109"/>
      <c r="F159" s="109"/>
      <c r="G159" s="109"/>
      <c r="H159" s="109"/>
      <c r="I159" s="109"/>
    </row>
    <row r="160" spans="1:14" s="2" customFormat="1" x14ac:dyDescent="0.3">
      <c r="A160" s="358"/>
      <c r="B160" s="359" t="s">
        <v>950</v>
      </c>
      <c r="C160" s="360">
        <f>C4</f>
        <v>300</v>
      </c>
      <c r="D160" s="366">
        <v>105</v>
      </c>
      <c r="E160" s="109"/>
      <c r="F160" s="109"/>
      <c r="G160" s="109"/>
      <c r="H160" s="109"/>
      <c r="I160" s="109"/>
    </row>
    <row r="161" spans="1:12" x14ac:dyDescent="0.3">
      <c r="A161" s="109"/>
      <c r="B161" s="105"/>
      <c r="C161" s="354"/>
      <c r="D161" s="354"/>
    </row>
    <row r="162" spans="1:12" s="2" customFormat="1" x14ac:dyDescent="0.3">
      <c r="A162" s="362" t="s">
        <v>946</v>
      </c>
      <c r="B162" s="363"/>
      <c r="C162" s="364">
        <f>SUM(C163:C165)</f>
        <v>2860</v>
      </c>
      <c r="D162" s="365">
        <f>SUM(D163:D165)</f>
        <v>2266.6</v>
      </c>
      <c r="E162" s="250">
        <f>C162-D162</f>
        <v>593.40000000000009</v>
      </c>
      <c r="F162" s="109"/>
      <c r="G162" s="250"/>
      <c r="H162" s="109"/>
      <c r="I162" s="109"/>
    </row>
    <row r="163" spans="1:12" s="2" customFormat="1" x14ac:dyDescent="0.3">
      <c r="A163" s="358"/>
      <c r="B163" s="359" t="s">
        <v>947</v>
      </c>
      <c r="C163" s="360">
        <f>C98</f>
        <v>2000</v>
      </c>
      <c r="D163" s="366">
        <f>D98</f>
        <v>1731</v>
      </c>
      <c r="E163" s="109"/>
      <c r="F163" s="109"/>
      <c r="G163" s="109"/>
      <c r="H163" s="109"/>
      <c r="I163" s="109"/>
    </row>
    <row r="164" spans="1:12" s="2" customFormat="1" x14ac:dyDescent="0.3">
      <c r="A164" s="358"/>
      <c r="B164" s="359" t="s">
        <v>948</v>
      </c>
      <c r="C164" s="360">
        <f>C35</f>
        <v>560</v>
      </c>
      <c r="D164" s="366">
        <f>D35</f>
        <v>555.6</v>
      </c>
      <c r="E164" s="109"/>
      <c r="F164" s="109"/>
      <c r="G164" s="109"/>
      <c r="H164" s="109"/>
      <c r="I164" s="109"/>
    </row>
    <row r="165" spans="1:12" s="2" customFormat="1" x14ac:dyDescent="0.3">
      <c r="A165" s="358"/>
      <c r="B165" s="359" t="s">
        <v>950</v>
      </c>
      <c r="C165" s="360">
        <f>C4</f>
        <v>300</v>
      </c>
      <c r="D165" s="366">
        <f>D4</f>
        <v>-20</v>
      </c>
      <c r="E165" s="109"/>
      <c r="F165" s="109"/>
      <c r="G165" s="109"/>
      <c r="H165" s="109"/>
      <c r="I165" s="109"/>
    </row>
    <row r="166" spans="1:12" x14ac:dyDescent="0.3">
      <c r="A166" s="109"/>
      <c r="B166" s="105"/>
      <c r="C166" s="354"/>
      <c r="D166" s="354"/>
    </row>
    <row r="167" spans="1:12" s="2" customFormat="1" x14ac:dyDescent="0.3">
      <c r="A167" s="362" t="s">
        <v>949</v>
      </c>
      <c r="B167" s="363"/>
      <c r="C167" s="364">
        <f>SUM(C168:C171)</f>
        <v>4410</v>
      </c>
      <c r="D167" s="365">
        <f>SUM(D168:D171)</f>
        <v>3491.5</v>
      </c>
      <c r="E167" s="250">
        <f>C167-D167</f>
        <v>918.5</v>
      </c>
      <c r="F167" s="109"/>
      <c r="G167" s="250"/>
      <c r="H167" s="109"/>
      <c r="I167" s="109"/>
    </row>
    <row r="168" spans="1:12" s="2" customFormat="1" x14ac:dyDescent="0.3">
      <c r="A168" s="358"/>
      <c r="B168" s="359" t="s">
        <v>947</v>
      </c>
      <c r="C168" s="360">
        <f>C107</f>
        <v>2500</v>
      </c>
      <c r="D168" s="366">
        <f>D107</f>
        <v>2040.5</v>
      </c>
      <c r="E168" s="109"/>
      <c r="F168" s="109"/>
      <c r="G168" s="109"/>
      <c r="H168" s="109"/>
      <c r="I168" s="109"/>
    </row>
    <row r="169" spans="1:12" s="2" customFormat="1" x14ac:dyDescent="0.3">
      <c r="A169" s="358"/>
      <c r="B169" s="359" t="s">
        <v>948</v>
      </c>
      <c r="C169" s="360">
        <f>C89</f>
        <v>1500</v>
      </c>
      <c r="D169" s="366">
        <f>D89</f>
        <v>1371</v>
      </c>
      <c r="E169" s="109"/>
      <c r="F169" s="109"/>
      <c r="G169" s="109"/>
      <c r="H169" s="109"/>
      <c r="I169" s="109"/>
      <c r="J169" s="2" t="s">
        <v>953</v>
      </c>
      <c r="K169" s="2">
        <v>105</v>
      </c>
      <c r="L169" s="2">
        <v>100</v>
      </c>
    </row>
    <row r="170" spans="1:12" s="2" customFormat="1" x14ac:dyDescent="0.3">
      <c r="A170" s="358"/>
      <c r="B170" s="359" t="s">
        <v>950</v>
      </c>
      <c r="C170" s="360">
        <f>C4</f>
        <v>300</v>
      </c>
      <c r="D170" s="366">
        <f>D4</f>
        <v>-20</v>
      </c>
      <c r="E170" s="109"/>
      <c r="F170" s="109"/>
      <c r="G170" s="109"/>
      <c r="H170" s="109"/>
      <c r="I170" s="109"/>
      <c r="J170" s="2" t="s">
        <v>952</v>
      </c>
      <c r="K170" s="2">
        <v>275</v>
      </c>
      <c r="L170" s="2">
        <v>300</v>
      </c>
    </row>
    <row r="171" spans="1:12" s="2" customFormat="1" x14ac:dyDescent="0.3">
      <c r="A171" s="358"/>
      <c r="B171" s="359" t="s">
        <v>951</v>
      </c>
      <c r="C171" s="360">
        <f>C11</f>
        <v>110</v>
      </c>
      <c r="D171" s="366">
        <f>D11</f>
        <v>100</v>
      </c>
      <c r="E171" s="109"/>
      <c r="F171" s="109"/>
      <c r="G171" s="109"/>
      <c r="H171" s="109"/>
      <c r="I171" s="109"/>
      <c r="J171" s="2" t="s">
        <v>931</v>
      </c>
      <c r="K171" s="2">
        <v>700</v>
      </c>
      <c r="L171" s="2">
        <v>700</v>
      </c>
    </row>
    <row r="172" spans="1:12" x14ac:dyDescent="0.3">
      <c r="A172" s="109"/>
      <c r="B172" s="105"/>
      <c r="C172" s="354"/>
      <c r="D172" s="354"/>
      <c r="J172" s="2"/>
      <c r="K172" s="2"/>
      <c r="L172" s="2"/>
    </row>
    <row r="173" spans="1:12" s="2" customFormat="1" x14ac:dyDescent="0.3">
      <c r="A173" s="362" t="s">
        <v>938</v>
      </c>
      <c r="B173" s="363"/>
      <c r="C173" s="373" t="s">
        <v>954</v>
      </c>
      <c r="D173" s="365"/>
      <c r="E173" s="250"/>
      <c r="F173" s="109"/>
      <c r="G173" s="250"/>
      <c r="H173" s="109"/>
      <c r="I173" s="109"/>
      <c r="J173"/>
      <c r="K173"/>
      <c r="L173"/>
    </row>
    <row r="174" spans="1:12" s="2" customFormat="1" x14ac:dyDescent="0.3">
      <c r="A174" s="358"/>
      <c r="B174" s="359" t="s">
        <v>1</v>
      </c>
      <c r="C174" s="368">
        <v>0.15</v>
      </c>
      <c r="D174" s="369">
        <v>0.2</v>
      </c>
      <c r="E174" s="109"/>
      <c r="F174" s="109"/>
      <c r="G174" s="109"/>
      <c r="H174" s="109"/>
      <c r="I174" s="109"/>
      <c r="K174" s="2">
        <f>SUM(K169:K173)</f>
        <v>1080</v>
      </c>
      <c r="L174" s="2">
        <f>SUM(L169:L173)</f>
        <v>1100</v>
      </c>
    </row>
    <row r="175" spans="1:12" x14ac:dyDescent="0.3">
      <c r="A175" s="109"/>
      <c r="B175" s="105"/>
      <c r="C175" s="354"/>
      <c r="D175" s="354"/>
    </row>
    <row r="176" spans="1:12" x14ac:dyDescent="0.3">
      <c r="A176" s="109"/>
      <c r="B176" s="105"/>
      <c r="C176" s="354"/>
      <c r="D176" s="354"/>
    </row>
    <row r="177" spans="1:14" x14ac:dyDescent="0.3">
      <c r="A177" s="109"/>
      <c r="B177" s="105"/>
      <c r="C177" s="354"/>
      <c r="D177" s="354"/>
    </row>
    <row r="178" spans="1:14" x14ac:dyDescent="0.3">
      <c r="A178" s="109"/>
      <c r="B178" s="105"/>
      <c r="C178" s="354"/>
      <c r="D178" s="354"/>
    </row>
    <row r="179" spans="1:14" x14ac:dyDescent="0.3">
      <c r="A179" s="109"/>
      <c r="B179" s="105"/>
      <c r="C179" s="354"/>
      <c r="D179" s="354"/>
    </row>
    <row r="180" spans="1:14" x14ac:dyDescent="0.3">
      <c r="A180" s="109"/>
      <c r="B180" s="105"/>
      <c r="C180" s="354"/>
      <c r="D180" s="354"/>
      <c r="L180">
        <v>12000</v>
      </c>
      <c r="M180">
        <f>L180*C174</f>
        <v>1800</v>
      </c>
      <c r="N180">
        <f>L180*D174</f>
        <v>2400</v>
      </c>
    </row>
    <row r="181" spans="1:14" x14ac:dyDescent="0.3">
      <c r="A181" s="109"/>
      <c r="B181" s="105"/>
      <c r="C181" s="354"/>
      <c r="D181" s="354"/>
      <c r="N181">
        <f>N180-M180</f>
        <v>600</v>
      </c>
    </row>
    <row r="182" spans="1:14" x14ac:dyDescent="0.3">
      <c r="A182" s="109"/>
      <c r="B182" s="105"/>
      <c r="C182" s="354"/>
      <c r="D182" s="354"/>
      <c r="N182">
        <f>N181/L180</f>
        <v>0.05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05"/>
  <sheetViews>
    <sheetView topLeftCell="A22" zoomScaleNormal="100" workbookViewId="0">
      <selection activeCell="C51" sqref="C51"/>
    </sheetView>
  </sheetViews>
  <sheetFormatPr defaultRowHeight="14.4" x14ac:dyDescent="0.3"/>
  <cols>
    <col min="1" max="1" width="2.6640625" customWidth="1"/>
    <col min="2" max="2" width="3.6640625" customWidth="1"/>
    <col min="3" max="3" width="100.6640625" customWidth="1"/>
    <col min="4" max="4" width="0" hidden="1" customWidth="1"/>
    <col min="5" max="5" width="17.88671875" style="14" hidden="1" customWidth="1"/>
    <col min="6" max="6" width="16.33203125" style="162" bestFit="1" customWidth="1"/>
    <col min="7" max="7" width="22.88671875" bestFit="1" customWidth="1"/>
    <col min="8" max="8" width="22.88671875" style="28" hidden="1" customWidth="1"/>
    <col min="9" max="10" width="5" style="54" hidden="1" customWidth="1"/>
    <col min="11" max="11" width="22.88671875" style="47" hidden="1" customWidth="1"/>
    <col min="12" max="12" width="15.33203125" bestFit="1" customWidth="1"/>
    <col min="13" max="13" width="11.6640625" bestFit="1" customWidth="1"/>
  </cols>
  <sheetData>
    <row r="1" spans="3:13" x14ac:dyDescent="0.3">
      <c r="C1" t="s">
        <v>13</v>
      </c>
      <c r="F1" s="161" t="s">
        <v>681</v>
      </c>
      <c r="G1" t="s">
        <v>682</v>
      </c>
      <c r="M1" s="14">
        <v>5000000</v>
      </c>
    </row>
    <row r="2" spans="3:13" x14ac:dyDescent="0.3">
      <c r="C2" s="2" t="s">
        <v>14</v>
      </c>
      <c r="F2" s="334">
        <f>K19</f>
        <v>32965915103.825138</v>
      </c>
      <c r="G2" s="16"/>
      <c r="H2" s="16"/>
    </row>
    <row r="3" spans="3:13" x14ac:dyDescent="0.3">
      <c r="F3" s="335"/>
      <c r="G3" s="18"/>
      <c r="H3" s="18"/>
    </row>
    <row r="4" spans="3:13" x14ac:dyDescent="0.3">
      <c r="E4" s="14" t="s">
        <v>683</v>
      </c>
      <c r="F4" s="166">
        <f>G61+G78+G79+G86+G87+G88+G89</f>
        <v>1083254000</v>
      </c>
      <c r="G4" s="21">
        <f>F187+F390+F391+F392+F393+F394+F521+F528+F532+F658+F788</f>
        <v>2883099000</v>
      </c>
      <c r="H4" s="21">
        <f>G4-F4</f>
        <v>1799845000</v>
      </c>
      <c r="L4" s="21">
        <f>F4-G4</f>
        <v>-1799845000</v>
      </c>
      <c r="M4" s="22">
        <f>L4/M1</f>
        <v>-359.96899999999999</v>
      </c>
    </row>
    <row r="5" spans="3:13" x14ac:dyDescent="0.3">
      <c r="C5" t="s">
        <v>685</v>
      </c>
      <c r="F5" s="162">
        <v>73676</v>
      </c>
      <c r="G5" s="4"/>
      <c r="H5" s="30"/>
      <c r="L5" s="21"/>
      <c r="M5" s="22"/>
    </row>
    <row r="6" spans="3:13" x14ac:dyDescent="0.3">
      <c r="C6" t="s">
        <v>686</v>
      </c>
      <c r="F6" s="162">
        <f>3806*12</f>
        <v>45672</v>
      </c>
      <c r="G6" s="4">
        <f>F6*F5</f>
        <v>3364930272</v>
      </c>
      <c r="H6" s="4">
        <f>G6*1.6</f>
        <v>5383888435.2000008</v>
      </c>
      <c r="L6" s="21"/>
      <c r="M6" s="22"/>
    </row>
    <row r="7" spans="3:13" x14ac:dyDescent="0.3">
      <c r="C7" t="s">
        <v>687</v>
      </c>
      <c r="F7" s="162">
        <v>422000</v>
      </c>
      <c r="G7" s="4"/>
      <c r="H7" s="30"/>
      <c r="M7" s="44"/>
    </row>
    <row r="8" spans="3:13" x14ac:dyDescent="0.3">
      <c r="F8" s="162">
        <f>3017*12</f>
        <v>36204</v>
      </c>
      <c r="G8" s="4">
        <f>F7*F8</f>
        <v>15278088000</v>
      </c>
      <c r="H8" s="4">
        <f>G8*1.6</f>
        <v>24444940800</v>
      </c>
    </row>
    <row r="9" spans="3:13" x14ac:dyDescent="0.3">
      <c r="C9" t="s">
        <v>688</v>
      </c>
      <c r="G9" s="4"/>
      <c r="H9" s="4"/>
    </row>
    <row r="10" spans="3:13" x14ac:dyDescent="0.3">
      <c r="G10" s="4"/>
      <c r="H10" s="4"/>
    </row>
    <row r="11" spans="3:13" x14ac:dyDescent="0.3">
      <c r="C11" t="s">
        <v>692</v>
      </c>
      <c r="F11" s="336">
        <v>0.19819999999999999</v>
      </c>
      <c r="G11" s="4"/>
      <c r="H11" s="4"/>
    </row>
    <row r="12" spans="3:13" x14ac:dyDescent="0.3">
      <c r="C12" t="s">
        <v>689</v>
      </c>
      <c r="G12" s="4"/>
      <c r="H12" s="4"/>
    </row>
    <row r="13" spans="3:13" x14ac:dyDescent="0.3">
      <c r="C13" t="s">
        <v>690</v>
      </c>
      <c r="F13" s="336">
        <v>9.9000000000000008E-3</v>
      </c>
      <c r="G13" s="13">
        <v>4.5999999999999999E-3</v>
      </c>
      <c r="H13" s="13">
        <v>1.0699999999999999E-2</v>
      </c>
    </row>
    <row r="14" spans="3:13" x14ac:dyDescent="0.3">
      <c r="G14" s="4"/>
      <c r="H14" s="4"/>
    </row>
    <row r="15" spans="3:13" x14ac:dyDescent="0.3">
      <c r="C15" s="12" t="s">
        <v>691</v>
      </c>
      <c r="G15" s="4"/>
      <c r="H15" s="4"/>
    </row>
    <row r="16" spans="3:13" x14ac:dyDescent="0.3">
      <c r="C16" s="12" t="s">
        <v>693</v>
      </c>
      <c r="G16" s="4"/>
      <c r="H16" s="4"/>
    </row>
    <row r="17" spans="2:11" x14ac:dyDescent="0.3">
      <c r="C17" s="12" t="s">
        <v>694</v>
      </c>
      <c r="G17" s="4"/>
      <c r="H17" s="4"/>
    </row>
    <row r="18" spans="2:11" x14ac:dyDescent="0.3">
      <c r="G18" s="4"/>
      <c r="H18" s="4"/>
    </row>
    <row r="19" spans="2:11" s="39" customFormat="1" ht="18" x14ac:dyDescent="0.35">
      <c r="B19" s="39" t="s">
        <v>15</v>
      </c>
      <c r="E19" s="43"/>
      <c r="F19" s="156"/>
      <c r="G19" s="41">
        <f>G21+G52+G121+G133</f>
        <v>55041643000</v>
      </c>
      <c r="H19" s="42">
        <f>H21+H52+H121+H133</f>
        <v>16223702000</v>
      </c>
      <c r="I19" s="54"/>
      <c r="J19" s="54"/>
      <c r="K19" s="53">
        <f>K21+K52+K121+K133</f>
        <v>32965915103.825138</v>
      </c>
    </row>
    <row r="20" spans="2:11" s="39" customFormat="1" ht="18" x14ac:dyDescent="0.35">
      <c r="E20" s="43"/>
      <c r="F20" s="156"/>
      <c r="G20" s="41"/>
      <c r="H20" s="42"/>
      <c r="I20" s="54"/>
      <c r="J20" s="54"/>
      <c r="K20" s="48"/>
    </row>
    <row r="21" spans="2:11" s="39" customFormat="1" ht="18" x14ac:dyDescent="0.35">
      <c r="B21" s="39" t="s">
        <v>16</v>
      </c>
      <c r="E21" s="40">
        <v>41541502</v>
      </c>
      <c r="F21" s="156">
        <f>G21/$G$19</f>
        <v>0.75472859703697437</v>
      </c>
      <c r="G21" s="41">
        <f t="shared" ref="G21:G51" si="0">E21*1000</f>
        <v>41541502000</v>
      </c>
      <c r="H21" s="42">
        <f>H22+H27+H31+H37+H43</f>
        <v>16223702000</v>
      </c>
      <c r="I21" s="54"/>
      <c r="J21" s="54"/>
      <c r="K21" s="53">
        <f>K22+K27+K31+K37+K43</f>
        <v>23057707103.825138</v>
      </c>
    </row>
    <row r="22" spans="2:11" s="2" customFormat="1" x14ac:dyDescent="0.3">
      <c r="B22" s="2" t="s">
        <v>17</v>
      </c>
      <c r="E22" s="15">
        <v>13339000</v>
      </c>
      <c r="F22" s="159"/>
      <c r="G22" s="17">
        <f t="shared" si="0"/>
        <v>13339000000</v>
      </c>
      <c r="H22" s="33">
        <f>SUM(H23:H26)</f>
        <v>8165000000</v>
      </c>
      <c r="I22" s="54"/>
      <c r="J22" s="54"/>
      <c r="K22" s="51">
        <f>SUM(K23:K26)</f>
        <v>8778500000</v>
      </c>
    </row>
    <row r="23" spans="2:11" s="28" customFormat="1" x14ac:dyDescent="0.3">
      <c r="C23" s="28" t="s">
        <v>18</v>
      </c>
      <c r="E23" s="29">
        <v>9480000</v>
      </c>
      <c r="G23" s="163">
        <f t="shared" si="0"/>
        <v>9480000000</v>
      </c>
      <c r="H23" s="30">
        <f>G23*(1-J23)</f>
        <v>7584000000</v>
      </c>
      <c r="I23" s="54">
        <v>0.3</v>
      </c>
      <c r="J23" s="54">
        <v>0.2</v>
      </c>
      <c r="K23" s="50">
        <f>(J23/I23)*G23</f>
        <v>6320000000.000001</v>
      </c>
    </row>
    <row r="24" spans="2:11" s="28" customFormat="1" x14ac:dyDescent="0.3">
      <c r="C24" s="28" t="s">
        <v>19</v>
      </c>
      <c r="E24" s="29">
        <v>3278000</v>
      </c>
      <c r="G24" s="163">
        <f t="shared" si="0"/>
        <v>3278000000</v>
      </c>
      <c r="H24" s="30"/>
      <c r="I24" s="54">
        <v>0.2</v>
      </c>
      <c r="J24" s="54">
        <v>0.15</v>
      </c>
      <c r="K24" s="50">
        <f>(J24/I24)*G24</f>
        <v>2458499999.9999995</v>
      </c>
    </row>
    <row r="25" spans="2:11" s="28" customFormat="1" x14ac:dyDescent="0.3">
      <c r="C25" s="28" t="s">
        <v>20</v>
      </c>
      <c r="E25" s="29">
        <v>91000</v>
      </c>
      <c r="G25" s="163">
        <f t="shared" si="0"/>
        <v>91000000</v>
      </c>
      <c r="H25" s="30">
        <f>G25</f>
        <v>91000000</v>
      </c>
      <c r="I25" s="54"/>
      <c r="J25" s="54"/>
      <c r="K25" s="47"/>
    </row>
    <row r="26" spans="2:11" s="28" customFormat="1" x14ac:dyDescent="0.3">
      <c r="C26" s="28" t="s">
        <v>21</v>
      </c>
      <c r="E26" s="29">
        <v>490000</v>
      </c>
      <c r="G26" s="163">
        <f t="shared" si="0"/>
        <v>490000000</v>
      </c>
      <c r="H26" s="30">
        <f>G26</f>
        <v>490000000</v>
      </c>
      <c r="I26" s="54"/>
      <c r="J26" s="54"/>
      <c r="K26" s="47"/>
    </row>
    <row r="27" spans="2:11" s="2" customFormat="1" x14ac:dyDescent="0.3">
      <c r="B27" s="2" t="s">
        <v>22</v>
      </c>
      <c r="E27" s="15">
        <v>17970800</v>
      </c>
      <c r="F27" s="160"/>
      <c r="G27" s="17">
        <f t="shared" si="0"/>
        <v>17970800000</v>
      </c>
      <c r="H27" s="33">
        <f>SUM(H28:H30)</f>
        <v>176800000</v>
      </c>
      <c r="I27" s="54"/>
      <c r="J27" s="54"/>
      <c r="K27" s="51">
        <f>SUM(K28:K30)</f>
        <v>14174166666.666668</v>
      </c>
    </row>
    <row r="28" spans="2:11" s="28" customFormat="1" x14ac:dyDescent="0.3">
      <c r="C28" s="28" t="s">
        <v>23</v>
      </c>
      <c r="E28" s="29">
        <v>17009000</v>
      </c>
      <c r="G28" s="163">
        <f t="shared" si="0"/>
        <v>17009000000</v>
      </c>
      <c r="H28" s="30"/>
      <c r="I28" s="54">
        <v>0.24</v>
      </c>
      <c r="J28" s="54">
        <v>0.2</v>
      </c>
      <c r="K28" s="50">
        <f>(J28/I28)*G28</f>
        <v>14174166666.666668</v>
      </c>
    </row>
    <row r="29" spans="2:11" x14ac:dyDescent="0.3">
      <c r="C29" t="s">
        <v>24</v>
      </c>
      <c r="E29" s="14">
        <v>785000</v>
      </c>
      <c r="G29" s="163">
        <f t="shared" si="0"/>
        <v>785000000</v>
      </c>
      <c r="H29" s="30"/>
      <c r="K29" s="50"/>
    </row>
    <row r="30" spans="2:11" x14ac:dyDescent="0.3">
      <c r="C30" t="s">
        <v>25</v>
      </c>
      <c r="E30" s="14">
        <v>176800</v>
      </c>
      <c r="G30" s="163">
        <f t="shared" si="0"/>
        <v>176800000</v>
      </c>
      <c r="H30" s="30">
        <f>G30</f>
        <v>176800000</v>
      </c>
    </row>
    <row r="31" spans="2:11" s="2" customFormat="1" x14ac:dyDescent="0.3">
      <c r="B31" s="2" t="s">
        <v>26</v>
      </c>
      <c r="E31" s="15">
        <v>7080000</v>
      </c>
      <c r="F31" s="160"/>
      <c r="G31" s="17">
        <f t="shared" si="0"/>
        <v>7080000000</v>
      </c>
      <c r="H31" s="33">
        <f>SUM(H32:H36)</f>
        <v>4775000000</v>
      </c>
      <c r="I31" s="54"/>
      <c r="J31" s="54"/>
      <c r="K31" s="51">
        <f>SUM(K32:K36)</f>
        <v>60240437.158469945</v>
      </c>
    </row>
    <row r="32" spans="2:11" x14ac:dyDescent="0.3">
      <c r="C32" t="s">
        <v>27</v>
      </c>
      <c r="E32" s="14">
        <v>950000</v>
      </c>
      <c r="G32" s="163">
        <f t="shared" si="0"/>
        <v>950000000</v>
      </c>
      <c r="H32" s="30"/>
      <c r="I32" s="54">
        <v>0.61</v>
      </c>
      <c r="J32" s="54">
        <v>0.01</v>
      </c>
      <c r="K32" s="50">
        <f>(J32/I32)*G32</f>
        <v>15573770.491803279</v>
      </c>
    </row>
    <row r="33" spans="2:11" x14ac:dyDescent="0.3">
      <c r="C33" t="s">
        <v>28</v>
      </c>
      <c r="E33" s="14">
        <v>1340000</v>
      </c>
      <c r="G33" s="163">
        <f t="shared" si="0"/>
        <v>1340000000</v>
      </c>
      <c r="H33" s="30"/>
      <c r="I33" s="54">
        <v>0.3</v>
      </c>
      <c r="J33" s="54">
        <v>0.01</v>
      </c>
      <c r="K33" s="50">
        <f>(J33/I33)*G33</f>
        <v>44666666.666666664</v>
      </c>
    </row>
    <row r="34" spans="2:11" x14ac:dyDescent="0.3">
      <c r="C34" t="s">
        <v>29</v>
      </c>
      <c r="E34" s="14">
        <v>257000</v>
      </c>
      <c r="G34" s="163">
        <f t="shared" si="0"/>
        <v>257000000</v>
      </c>
      <c r="H34" s="30">
        <f>G34</f>
        <v>257000000</v>
      </c>
    </row>
    <row r="35" spans="2:11" s="28" customFormat="1" x14ac:dyDescent="0.3">
      <c r="C35" s="28" t="s">
        <v>30</v>
      </c>
      <c r="E35" s="29">
        <v>4518000</v>
      </c>
      <c r="G35" s="163">
        <f t="shared" si="0"/>
        <v>4518000000</v>
      </c>
      <c r="H35" s="30">
        <f>G35</f>
        <v>4518000000</v>
      </c>
      <c r="I35" s="54"/>
      <c r="J35" s="54"/>
      <c r="K35" s="47"/>
    </row>
    <row r="36" spans="2:11" x14ac:dyDescent="0.3">
      <c r="C36" t="s">
        <v>31</v>
      </c>
      <c r="E36" s="14">
        <v>15000</v>
      </c>
      <c r="G36" s="163">
        <f t="shared" si="0"/>
        <v>15000000</v>
      </c>
      <c r="H36" s="30"/>
      <c r="J36" s="54">
        <v>0</v>
      </c>
      <c r="K36" s="50"/>
    </row>
    <row r="37" spans="2:11" s="2" customFormat="1" x14ac:dyDescent="0.3">
      <c r="B37" s="2" t="s">
        <v>32</v>
      </c>
      <c r="E37" s="15">
        <v>3041000</v>
      </c>
      <c r="F37" s="160"/>
      <c r="G37" s="17">
        <f t="shared" si="0"/>
        <v>3041000000</v>
      </c>
      <c r="H37" s="33">
        <f>SUM(H38:H42)</f>
        <v>3041000000</v>
      </c>
      <c r="I37" s="54"/>
      <c r="J37" s="54"/>
      <c r="K37" s="51">
        <f>SUM(K38:K42)</f>
        <v>0</v>
      </c>
    </row>
    <row r="38" spans="2:11" s="28" customFormat="1" x14ac:dyDescent="0.3">
      <c r="C38" s="28" t="s">
        <v>33</v>
      </c>
      <c r="E38" s="29">
        <v>899000</v>
      </c>
      <c r="G38" s="163">
        <f t="shared" si="0"/>
        <v>899000000</v>
      </c>
      <c r="H38" s="30">
        <f>G38</f>
        <v>899000000</v>
      </c>
      <c r="I38" s="54"/>
      <c r="J38" s="54">
        <v>0</v>
      </c>
      <c r="K38" s="47"/>
    </row>
    <row r="39" spans="2:11" s="28" customFormat="1" x14ac:dyDescent="0.3">
      <c r="C39" s="28" t="s">
        <v>34</v>
      </c>
      <c r="E39" s="29">
        <v>802000</v>
      </c>
      <c r="G39" s="163">
        <f t="shared" si="0"/>
        <v>802000000</v>
      </c>
      <c r="H39" s="30">
        <f>G39</f>
        <v>802000000</v>
      </c>
      <c r="I39" s="54"/>
      <c r="J39" s="54">
        <v>0</v>
      </c>
      <c r="K39" s="47"/>
    </row>
    <row r="40" spans="2:11" s="28" customFormat="1" x14ac:dyDescent="0.3">
      <c r="C40" s="28" t="s">
        <v>35</v>
      </c>
      <c r="E40" s="29">
        <v>225000</v>
      </c>
      <c r="G40" s="163">
        <f t="shared" si="0"/>
        <v>225000000</v>
      </c>
      <c r="H40" s="30">
        <f>G40</f>
        <v>225000000</v>
      </c>
      <c r="I40" s="54"/>
      <c r="J40" s="54">
        <v>0</v>
      </c>
      <c r="K40" s="47"/>
    </row>
    <row r="41" spans="2:11" s="28" customFormat="1" x14ac:dyDescent="0.3">
      <c r="C41" s="28" t="s">
        <v>36</v>
      </c>
      <c r="E41" s="29">
        <v>1090000</v>
      </c>
      <c r="G41" s="163">
        <f t="shared" si="0"/>
        <v>1090000000</v>
      </c>
      <c r="H41" s="30">
        <f>G41</f>
        <v>1090000000</v>
      </c>
      <c r="I41" s="54"/>
      <c r="J41" s="54">
        <v>0</v>
      </c>
      <c r="K41" s="47"/>
    </row>
    <row r="42" spans="2:11" s="28" customFormat="1" x14ac:dyDescent="0.3">
      <c r="C42" s="28" t="s">
        <v>37</v>
      </c>
      <c r="E42" s="29">
        <v>25000</v>
      </c>
      <c r="G42" s="163">
        <f t="shared" si="0"/>
        <v>25000000</v>
      </c>
      <c r="H42" s="30">
        <f>G42</f>
        <v>25000000</v>
      </c>
      <c r="I42" s="54"/>
      <c r="J42" s="54">
        <v>0</v>
      </c>
      <c r="K42" s="47"/>
    </row>
    <row r="43" spans="2:11" s="2" customFormat="1" x14ac:dyDescent="0.3">
      <c r="B43" s="2" t="s">
        <v>38</v>
      </c>
      <c r="E43" s="15">
        <v>110702</v>
      </c>
      <c r="F43" s="160"/>
      <c r="G43" s="17">
        <f t="shared" si="0"/>
        <v>110702000</v>
      </c>
      <c r="H43" s="33">
        <f>SUM(H44:H51)</f>
        <v>65902000</v>
      </c>
      <c r="I43" s="54"/>
      <c r="J43" s="54"/>
      <c r="K43" s="51">
        <f>SUM(K44:K51)</f>
        <v>44800000</v>
      </c>
    </row>
    <row r="44" spans="2:11" s="28" customFormat="1" x14ac:dyDescent="0.3">
      <c r="C44" s="28" t="s">
        <v>39</v>
      </c>
      <c r="E44" s="29">
        <v>5341</v>
      </c>
      <c r="G44" s="163">
        <f t="shared" si="0"/>
        <v>5341000</v>
      </c>
      <c r="H44" s="30">
        <f>G44</f>
        <v>5341000</v>
      </c>
      <c r="I44" s="54"/>
      <c r="J44" s="54">
        <v>0</v>
      </c>
      <c r="K44" s="47"/>
    </row>
    <row r="45" spans="2:11" s="28" customFormat="1" x14ac:dyDescent="0.3">
      <c r="C45" s="28" t="s">
        <v>40</v>
      </c>
      <c r="E45" s="29">
        <v>28720</v>
      </c>
      <c r="G45" s="163">
        <f t="shared" si="0"/>
        <v>28720000</v>
      </c>
      <c r="H45" s="30">
        <f>G45</f>
        <v>28720000</v>
      </c>
      <c r="I45" s="54"/>
      <c r="J45" s="54">
        <v>0</v>
      </c>
      <c r="K45" s="47"/>
    </row>
    <row r="46" spans="2:11" s="28" customFormat="1" x14ac:dyDescent="0.3">
      <c r="C46" s="28" t="s">
        <v>41</v>
      </c>
      <c r="E46" s="29">
        <v>18751</v>
      </c>
      <c r="G46" s="163">
        <f t="shared" si="0"/>
        <v>18751000</v>
      </c>
      <c r="H46" s="30">
        <f>G46</f>
        <v>18751000</v>
      </c>
      <c r="I46" s="54"/>
      <c r="J46" s="54">
        <v>0</v>
      </c>
      <c r="K46" s="47"/>
    </row>
    <row r="47" spans="2:11" s="28" customFormat="1" x14ac:dyDescent="0.3">
      <c r="C47" s="28" t="s">
        <v>42</v>
      </c>
      <c r="E47" s="29">
        <v>44800</v>
      </c>
      <c r="G47" s="163">
        <f t="shared" si="0"/>
        <v>44800000</v>
      </c>
      <c r="H47" s="30"/>
      <c r="I47" s="54"/>
      <c r="J47" s="54"/>
      <c r="K47" s="50">
        <f>G47</f>
        <v>44800000</v>
      </c>
    </row>
    <row r="48" spans="2:11" s="28" customFormat="1" x14ac:dyDescent="0.3">
      <c r="C48" s="28" t="s">
        <v>43</v>
      </c>
      <c r="E48" s="29">
        <v>4000</v>
      </c>
      <c r="G48" s="163">
        <f t="shared" si="0"/>
        <v>4000000</v>
      </c>
      <c r="H48" s="30">
        <f>G48</f>
        <v>4000000</v>
      </c>
      <c r="I48" s="54"/>
      <c r="J48" s="54"/>
      <c r="K48" s="47"/>
    </row>
    <row r="49" spans="2:11" s="28" customFormat="1" x14ac:dyDescent="0.3">
      <c r="C49" s="28" t="s">
        <v>44</v>
      </c>
      <c r="E49" s="29">
        <v>6000</v>
      </c>
      <c r="G49" s="163">
        <f t="shared" si="0"/>
        <v>6000000</v>
      </c>
      <c r="H49" s="30">
        <f>G49</f>
        <v>6000000</v>
      </c>
      <c r="I49" s="54"/>
      <c r="J49" s="54"/>
      <c r="K49" s="47"/>
    </row>
    <row r="50" spans="2:11" s="28" customFormat="1" x14ac:dyDescent="0.3">
      <c r="C50" s="28" t="s">
        <v>45</v>
      </c>
      <c r="E50" s="29">
        <v>3090</v>
      </c>
      <c r="G50" s="163">
        <f t="shared" si="0"/>
        <v>3090000</v>
      </c>
      <c r="H50" s="30">
        <f>G50</f>
        <v>3090000</v>
      </c>
      <c r="I50" s="54"/>
      <c r="J50" s="54"/>
      <c r="K50" s="47"/>
    </row>
    <row r="51" spans="2:11" s="28" customFormat="1" x14ac:dyDescent="0.3">
      <c r="C51" s="28" t="s">
        <v>46</v>
      </c>
      <c r="E51" s="29">
        <v>0</v>
      </c>
      <c r="G51" s="163">
        <f t="shared" si="0"/>
        <v>0</v>
      </c>
      <c r="H51" s="30"/>
      <c r="I51" s="54"/>
      <c r="J51" s="54"/>
      <c r="K51" s="47"/>
    </row>
    <row r="52" spans="2:11" s="39" customFormat="1" ht="18" x14ac:dyDescent="0.35">
      <c r="B52" s="39" t="s">
        <v>47</v>
      </c>
      <c r="E52" s="40">
        <v>5426158</v>
      </c>
      <c r="F52" s="156">
        <f>G52/$G$19</f>
        <v>9.8582776680558024E-2</v>
      </c>
      <c r="G52" s="41">
        <f t="shared" ref="G52" si="1">E52*1000</f>
        <v>5426158000</v>
      </c>
      <c r="H52" s="42">
        <f>H53+H55+H60+H63+H67+H81+H85+H97+H100+H106+H112+H116</f>
        <v>0</v>
      </c>
      <c r="I52" s="54"/>
      <c r="J52" s="54"/>
      <c r="K52" s="53">
        <f>K53+K55+K60+K63+K67+K81+K85+K97+K100+K106+K112+K116</f>
        <v>2169625000</v>
      </c>
    </row>
    <row r="53" spans="2:11" s="2" customFormat="1" x14ac:dyDescent="0.3">
      <c r="B53" s="2" t="s">
        <v>48</v>
      </c>
      <c r="E53" s="15">
        <v>37227</v>
      </c>
      <c r="F53" s="158"/>
      <c r="G53" s="17">
        <f t="shared" ref="G53:G84" si="2">E53*1000</f>
        <v>37227000</v>
      </c>
      <c r="H53" s="33">
        <f>SUM(H54)</f>
        <v>0</v>
      </c>
      <c r="I53" s="54"/>
      <c r="J53" s="54"/>
      <c r="K53" s="51">
        <f>SUM(K54)</f>
        <v>0</v>
      </c>
    </row>
    <row r="54" spans="2:11" x14ac:dyDescent="0.3">
      <c r="C54" t="s">
        <v>49</v>
      </c>
      <c r="E54" s="14">
        <v>37227</v>
      </c>
      <c r="G54" s="163">
        <f t="shared" si="2"/>
        <v>37227000</v>
      </c>
      <c r="H54" s="30"/>
      <c r="K54" s="50"/>
    </row>
    <row r="55" spans="2:11" s="2" customFormat="1" x14ac:dyDescent="0.3">
      <c r="B55" s="2" t="s">
        <v>50</v>
      </c>
      <c r="E55" s="15">
        <v>138950</v>
      </c>
      <c r="F55" s="160"/>
      <c r="G55" s="17">
        <f t="shared" si="2"/>
        <v>138950000</v>
      </c>
      <c r="H55" s="33">
        <f>SUM(H56:H59)</f>
        <v>0</v>
      </c>
      <c r="I55" s="54"/>
      <c r="J55" s="54"/>
      <c r="K55" s="51">
        <f>SUM(K56:K59)</f>
        <v>0</v>
      </c>
    </row>
    <row r="56" spans="2:11" x14ac:dyDescent="0.3">
      <c r="C56" t="s">
        <v>51</v>
      </c>
      <c r="E56" s="14">
        <v>38900</v>
      </c>
      <c r="G56" s="163">
        <f t="shared" si="2"/>
        <v>38900000</v>
      </c>
      <c r="H56" s="30"/>
      <c r="K56" s="50"/>
    </row>
    <row r="57" spans="2:11" x14ac:dyDescent="0.3">
      <c r="C57" t="s">
        <v>52</v>
      </c>
      <c r="E57" s="14">
        <v>23300</v>
      </c>
      <c r="G57" s="163">
        <f t="shared" si="2"/>
        <v>23300000</v>
      </c>
      <c r="H57" s="30"/>
      <c r="K57" s="50"/>
    </row>
    <row r="58" spans="2:11" x14ac:dyDescent="0.3">
      <c r="C58" t="s">
        <v>53</v>
      </c>
      <c r="E58" s="14">
        <v>74000</v>
      </c>
      <c r="G58" s="163">
        <f t="shared" si="2"/>
        <v>74000000</v>
      </c>
      <c r="H58" s="30"/>
      <c r="K58" s="50"/>
    </row>
    <row r="59" spans="2:11" x14ac:dyDescent="0.3">
      <c r="C59" t="s">
        <v>54</v>
      </c>
      <c r="E59" s="14">
        <v>2750</v>
      </c>
      <c r="G59" s="163">
        <f t="shared" si="2"/>
        <v>2750000</v>
      </c>
      <c r="H59" s="30"/>
      <c r="K59" s="50"/>
    </row>
    <row r="60" spans="2:11" s="2" customFormat="1" x14ac:dyDescent="0.3">
      <c r="B60" s="2" t="s">
        <v>55</v>
      </c>
      <c r="E60" s="15">
        <v>47824</v>
      </c>
      <c r="F60" s="160"/>
      <c r="G60" s="17">
        <f t="shared" si="2"/>
        <v>47824000</v>
      </c>
      <c r="H60" s="33">
        <f>SUM(H61:H62)</f>
        <v>0</v>
      </c>
      <c r="I60" s="54"/>
      <c r="J60" s="54"/>
      <c r="K60" s="51">
        <f>SUM(K61:K62)</f>
        <v>47374000</v>
      </c>
    </row>
    <row r="61" spans="2:11" x14ac:dyDescent="0.3">
      <c r="C61" s="19" t="s">
        <v>56</v>
      </c>
      <c r="D61" s="19"/>
      <c r="E61" s="20">
        <v>47374</v>
      </c>
      <c r="G61" s="166">
        <f t="shared" si="2"/>
        <v>47374000</v>
      </c>
      <c r="H61"/>
      <c r="K61" s="50">
        <f>G61</f>
        <v>47374000</v>
      </c>
    </row>
    <row r="62" spans="2:11" x14ac:dyDescent="0.3">
      <c r="C62" t="s">
        <v>57</v>
      </c>
      <c r="E62" s="14">
        <v>450</v>
      </c>
      <c r="G62" s="163">
        <f t="shared" si="2"/>
        <v>450000</v>
      </c>
      <c r="H62"/>
    </row>
    <row r="63" spans="2:11" s="2" customFormat="1" x14ac:dyDescent="0.3">
      <c r="B63" s="2" t="s">
        <v>58</v>
      </c>
      <c r="E63" s="15">
        <v>6506</v>
      </c>
      <c r="F63" s="160"/>
      <c r="G63" s="17">
        <f t="shared" si="2"/>
        <v>6506000</v>
      </c>
      <c r="H63" s="33">
        <f>SUM(H64:H66)</f>
        <v>0</v>
      </c>
      <c r="I63" s="54"/>
      <c r="J63" s="54"/>
      <c r="K63" s="51">
        <f>SUM(K64:K66)</f>
        <v>0</v>
      </c>
    </row>
    <row r="64" spans="2:11" x14ac:dyDescent="0.3">
      <c r="C64" t="s">
        <v>59</v>
      </c>
      <c r="E64" s="14">
        <v>8</v>
      </c>
      <c r="G64" s="163">
        <f t="shared" si="2"/>
        <v>8000</v>
      </c>
      <c r="H64"/>
    </row>
    <row r="65" spans="2:11" x14ac:dyDescent="0.3">
      <c r="C65" t="s">
        <v>60</v>
      </c>
      <c r="E65" s="14">
        <v>18</v>
      </c>
      <c r="G65" s="163">
        <f t="shared" si="2"/>
        <v>18000</v>
      </c>
      <c r="H65"/>
    </row>
    <row r="66" spans="2:11" x14ac:dyDescent="0.3">
      <c r="C66" t="s">
        <v>61</v>
      </c>
      <c r="E66" s="14">
        <v>6480</v>
      </c>
      <c r="G66" s="163">
        <f t="shared" si="2"/>
        <v>6480000</v>
      </c>
      <c r="H66"/>
    </row>
    <row r="67" spans="2:11" s="2" customFormat="1" x14ac:dyDescent="0.3">
      <c r="B67" s="2" t="s">
        <v>62</v>
      </c>
      <c r="E67" s="15">
        <v>2245507</v>
      </c>
      <c r="F67" s="160"/>
      <c r="G67" s="17">
        <f t="shared" si="2"/>
        <v>2245507000</v>
      </c>
      <c r="H67" s="33">
        <f>SUM(H68:H80)</f>
        <v>0</v>
      </c>
      <c r="I67" s="54"/>
      <c r="J67" s="54"/>
      <c r="K67" s="51">
        <f>SUM(K68:K80)</f>
        <v>35500000</v>
      </c>
    </row>
    <row r="68" spans="2:11" x14ac:dyDescent="0.3">
      <c r="C68" t="s">
        <v>63</v>
      </c>
      <c r="E68" s="14">
        <v>2500</v>
      </c>
      <c r="G68" s="163">
        <f t="shared" si="2"/>
        <v>2500000</v>
      </c>
      <c r="H68"/>
    </row>
    <row r="69" spans="2:11" x14ac:dyDescent="0.3">
      <c r="C69" t="s">
        <v>64</v>
      </c>
      <c r="E69" s="14">
        <v>136621</v>
      </c>
      <c r="G69" s="163">
        <f t="shared" si="2"/>
        <v>136621000</v>
      </c>
      <c r="H69"/>
    </row>
    <row r="70" spans="2:11" x14ac:dyDescent="0.3">
      <c r="C70" t="s">
        <v>65</v>
      </c>
      <c r="E70" s="14">
        <v>26170</v>
      </c>
      <c r="G70" s="163">
        <f t="shared" si="2"/>
        <v>26170000</v>
      </c>
      <c r="H70"/>
    </row>
    <row r="71" spans="2:11" x14ac:dyDescent="0.3">
      <c r="C71" t="s">
        <v>66</v>
      </c>
      <c r="E71" s="14">
        <v>15081</v>
      </c>
      <c r="G71" s="163">
        <f t="shared" si="2"/>
        <v>15081000</v>
      </c>
      <c r="H71"/>
    </row>
    <row r="72" spans="2:11" x14ac:dyDescent="0.3">
      <c r="C72" t="s">
        <v>67</v>
      </c>
      <c r="E72" s="14">
        <v>5200</v>
      </c>
      <c r="G72" s="163">
        <f t="shared" si="2"/>
        <v>5200000</v>
      </c>
      <c r="H72"/>
    </row>
    <row r="73" spans="2:11" x14ac:dyDescent="0.3">
      <c r="C73" t="s">
        <v>68</v>
      </c>
      <c r="E73" s="14">
        <v>15000</v>
      </c>
      <c r="G73" s="163">
        <f t="shared" si="2"/>
        <v>15000000</v>
      </c>
      <c r="H73"/>
    </row>
    <row r="74" spans="2:11" x14ac:dyDescent="0.3">
      <c r="C74" t="s">
        <v>69</v>
      </c>
      <c r="E74" s="14">
        <v>1784620</v>
      </c>
      <c r="G74" s="163">
        <f t="shared" si="2"/>
        <v>1784620000</v>
      </c>
      <c r="H74"/>
    </row>
    <row r="75" spans="2:11" x14ac:dyDescent="0.3">
      <c r="C75" t="s">
        <v>70</v>
      </c>
      <c r="E75" s="14">
        <v>186154</v>
      </c>
      <c r="G75" s="163">
        <f t="shared" si="2"/>
        <v>186154000</v>
      </c>
      <c r="H75"/>
    </row>
    <row r="76" spans="2:11" x14ac:dyDescent="0.3">
      <c r="C76" t="s">
        <v>71</v>
      </c>
      <c r="E76" s="14">
        <v>19796</v>
      </c>
      <c r="G76" s="163">
        <f t="shared" si="2"/>
        <v>19796000</v>
      </c>
      <c r="H76"/>
    </row>
    <row r="77" spans="2:11" x14ac:dyDescent="0.3">
      <c r="C77" t="s">
        <v>72</v>
      </c>
      <c r="E77" s="14">
        <v>900</v>
      </c>
      <c r="G77" s="163">
        <f t="shared" si="2"/>
        <v>900000</v>
      </c>
      <c r="H77"/>
    </row>
    <row r="78" spans="2:11" x14ac:dyDescent="0.3">
      <c r="C78" s="19" t="s">
        <v>73</v>
      </c>
      <c r="D78" s="19"/>
      <c r="E78" s="20">
        <v>34000</v>
      </c>
      <c r="G78" s="166">
        <f t="shared" si="2"/>
        <v>34000000</v>
      </c>
      <c r="H78"/>
      <c r="K78" s="50">
        <f>G78</f>
        <v>34000000</v>
      </c>
    </row>
    <row r="79" spans="2:11" x14ac:dyDescent="0.3">
      <c r="C79" s="19" t="s">
        <v>74</v>
      </c>
      <c r="D79" s="19"/>
      <c r="E79" s="20">
        <v>1500</v>
      </c>
      <c r="G79" s="166">
        <f t="shared" si="2"/>
        <v>1500000</v>
      </c>
      <c r="H79"/>
      <c r="K79" s="50">
        <f>G79</f>
        <v>1500000</v>
      </c>
    </row>
    <row r="80" spans="2:11" x14ac:dyDescent="0.3">
      <c r="C80" t="s">
        <v>75</v>
      </c>
      <c r="E80" s="14">
        <v>17965</v>
      </c>
      <c r="G80" s="163">
        <f t="shared" si="2"/>
        <v>17965000</v>
      </c>
      <c r="H80"/>
    </row>
    <row r="81" spans="2:11" s="2" customFormat="1" x14ac:dyDescent="0.3">
      <c r="B81" s="2" t="s">
        <v>76</v>
      </c>
      <c r="E81" s="15">
        <v>566543</v>
      </c>
      <c r="F81" s="160"/>
      <c r="G81" s="17">
        <f t="shared" si="2"/>
        <v>566543000</v>
      </c>
      <c r="H81" s="33">
        <f>SUM(H82:H84)</f>
        <v>0</v>
      </c>
      <c r="I81" s="54"/>
      <c r="J81" s="54"/>
      <c r="K81" s="51">
        <f>SUM(K82:K84)</f>
        <v>538543000</v>
      </c>
    </row>
    <row r="82" spans="2:11" x14ac:dyDescent="0.3">
      <c r="C82" t="s">
        <v>77</v>
      </c>
      <c r="E82" s="14">
        <v>24000</v>
      </c>
      <c r="G82" s="163">
        <f t="shared" si="2"/>
        <v>24000000</v>
      </c>
      <c r="H82"/>
    </row>
    <row r="83" spans="2:11" x14ac:dyDescent="0.3">
      <c r="C83" t="s">
        <v>78</v>
      </c>
      <c r="E83" s="14">
        <v>538543</v>
      </c>
      <c r="G83" s="163">
        <f t="shared" si="2"/>
        <v>538543000</v>
      </c>
      <c r="H83"/>
      <c r="K83" s="50">
        <f>G83</f>
        <v>538543000</v>
      </c>
    </row>
    <row r="84" spans="2:11" x14ac:dyDescent="0.3">
      <c r="C84" t="s">
        <v>79</v>
      </c>
      <c r="E84" s="14">
        <v>4000</v>
      </c>
      <c r="G84" s="163">
        <f t="shared" si="2"/>
        <v>4000000</v>
      </c>
      <c r="H84"/>
    </row>
    <row r="85" spans="2:11" s="2" customFormat="1" x14ac:dyDescent="0.3">
      <c r="B85" s="2" t="s">
        <v>80</v>
      </c>
      <c r="E85" s="15">
        <v>1034850</v>
      </c>
      <c r="F85" s="160"/>
      <c r="G85" s="17">
        <f t="shared" ref="G85:G120" si="3">E85*1000</f>
        <v>1034850000</v>
      </c>
      <c r="H85" s="33">
        <f>SUM(H86:H96)</f>
        <v>0</v>
      </c>
      <c r="I85" s="54"/>
      <c r="J85" s="54"/>
      <c r="K85" s="51">
        <f>SUM(K86:K96)</f>
        <v>1001420000</v>
      </c>
    </row>
    <row r="86" spans="2:11" x14ac:dyDescent="0.3">
      <c r="C86" s="19" t="s">
        <v>81</v>
      </c>
      <c r="D86" s="19"/>
      <c r="E86" s="20">
        <v>599903</v>
      </c>
      <c r="G86" s="166">
        <f t="shared" si="3"/>
        <v>599903000</v>
      </c>
      <c r="H86"/>
      <c r="K86" s="50">
        <f>G86</f>
        <v>599903000</v>
      </c>
    </row>
    <row r="87" spans="2:11" x14ac:dyDescent="0.3">
      <c r="C87" s="19" t="s">
        <v>82</v>
      </c>
      <c r="D87" s="19"/>
      <c r="E87" s="20">
        <v>390000</v>
      </c>
      <c r="G87" s="166">
        <f t="shared" si="3"/>
        <v>390000000</v>
      </c>
      <c r="H87"/>
      <c r="K87" s="50">
        <f>G87</f>
        <v>390000000</v>
      </c>
    </row>
    <row r="88" spans="2:11" x14ac:dyDescent="0.3">
      <c r="C88" s="19" t="s">
        <v>83</v>
      </c>
      <c r="D88" s="19"/>
      <c r="E88" s="20">
        <v>10000</v>
      </c>
      <c r="G88" s="166">
        <f t="shared" si="3"/>
        <v>10000000</v>
      </c>
      <c r="H88"/>
      <c r="K88" s="50">
        <f>G88</f>
        <v>10000000</v>
      </c>
    </row>
    <row r="89" spans="2:11" x14ac:dyDescent="0.3">
      <c r="C89" s="19" t="s">
        <v>84</v>
      </c>
      <c r="D89" s="19"/>
      <c r="E89" s="20">
        <v>477</v>
      </c>
      <c r="G89" s="166">
        <f t="shared" si="3"/>
        <v>477000</v>
      </c>
      <c r="H89"/>
      <c r="K89" s="50">
        <f>G89</f>
        <v>477000</v>
      </c>
    </row>
    <row r="90" spans="2:11" x14ac:dyDescent="0.3">
      <c r="C90" t="s">
        <v>85</v>
      </c>
      <c r="E90" s="14">
        <v>1040</v>
      </c>
      <c r="G90" s="163">
        <f t="shared" si="3"/>
        <v>1040000</v>
      </c>
      <c r="H90" s="30"/>
      <c r="K90" s="50">
        <f>G90</f>
        <v>1040000</v>
      </c>
    </row>
    <row r="91" spans="2:11" x14ac:dyDescent="0.3">
      <c r="C91" t="s">
        <v>86</v>
      </c>
      <c r="E91" s="14">
        <v>3000</v>
      </c>
      <c r="G91" s="163">
        <f t="shared" si="3"/>
        <v>3000000</v>
      </c>
      <c r="H91" s="30"/>
    </row>
    <row r="92" spans="2:11" x14ac:dyDescent="0.3">
      <c r="C92" t="s">
        <v>87</v>
      </c>
      <c r="E92" s="14">
        <v>500</v>
      </c>
      <c r="G92" s="163">
        <f t="shared" si="3"/>
        <v>500000</v>
      </c>
      <c r="H92" s="30"/>
    </row>
    <row r="93" spans="2:11" x14ac:dyDescent="0.3">
      <c r="C93" t="s">
        <v>88</v>
      </c>
      <c r="E93" s="14">
        <v>3400</v>
      </c>
      <c r="G93" s="163">
        <f t="shared" si="3"/>
        <v>3400000</v>
      </c>
      <c r="H93" s="30"/>
    </row>
    <row r="94" spans="2:11" x14ac:dyDescent="0.3">
      <c r="C94" t="s">
        <v>89</v>
      </c>
      <c r="E94" s="14">
        <v>10400</v>
      </c>
      <c r="G94" s="163">
        <f t="shared" si="3"/>
        <v>10400000</v>
      </c>
      <c r="H94" s="30"/>
    </row>
    <row r="95" spans="2:11" x14ac:dyDescent="0.3">
      <c r="C95" t="s">
        <v>90</v>
      </c>
      <c r="E95" s="14">
        <v>10130</v>
      </c>
      <c r="G95" s="163">
        <f t="shared" si="3"/>
        <v>10130000</v>
      </c>
      <c r="H95" s="30"/>
    </row>
    <row r="96" spans="2:11" x14ac:dyDescent="0.3">
      <c r="C96" t="s">
        <v>91</v>
      </c>
      <c r="E96" s="14">
        <v>6000</v>
      </c>
      <c r="G96" s="163">
        <f t="shared" si="3"/>
        <v>6000000</v>
      </c>
      <c r="H96" s="30"/>
    </row>
    <row r="97" spans="2:11" s="2" customFormat="1" x14ac:dyDescent="0.3">
      <c r="B97" s="2" t="s">
        <v>92</v>
      </c>
      <c r="E97" s="15">
        <v>142393</v>
      </c>
      <c r="F97" s="160"/>
      <c r="G97" s="17">
        <f t="shared" si="3"/>
        <v>142393000</v>
      </c>
      <c r="H97" s="33">
        <f>SUM(H98:H99)</f>
        <v>0</v>
      </c>
      <c r="I97" s="54"/>
      <c r="J97" s="54"/>
      <c r="K97" s="51">
        <f>SUM(K98:K99)</f>
        <v>0</v>
      </c>
    </row>
    <row r="98" spans="2:11" x14ac:dyDescent="0.3">
      <c r="C98" t="s">
        <v>93</v>
      </c>
      <c r="E98" s="14">
        <v>141743</v>
      </c>
      <c r="G98" s="163">
        <f t="shared" si="3"/>
        <v>141743000</v>
      </c>
      <c r="H98" s="30"/>
      <c r="K98" s="50"/>
    </row>
    <row r="99" spans="2:11" x14ac:dyDescent="0.3">
      <c r="C99" t="s">
        <v>94</v>
      </c>
      <c r="E99" s="14">
        <v>650</v>
      </c>
      <c r="G99" s="163">
        <f t="shared" si="3"/>
        <v>650000</v>
      </c>
      <c r="H99" s="30"/>
      <c r="K99" s="50"/>
    </row>
    <row r="100" spans="2:11" s="2" customFormat="1" x14ac:dyDescent="0.3">
      <c r="B100" s="2" t="s">
        <v>95</v>
      </c>
      <c r="E100" s="15">
        <v>333815</v>
      </c>
      <c r="F100" s="160"/>
      <c r="G100" s="17">
        <f t="shared" si="3"/>
        <v>333815000</v>
      </c>
      <c r="H100" s="33">
        <f>SUM(H101:H105)</f>
        <v>0</v>
      </c>
      <c r="I100" s="54"/>
      <c r="J100" s="54"/>
      <c r="K100" s="51">
        <f>SUM(K101:K105)</f>
        <v>120000000</v>
      </c>
    </row>
    <row r="101" spans="2:11" x14ac:dyDescent="0.3">
      <c r="C101" t="s">
        <v>96</v>
      </c>
      <c r="E101" s="14">
        <v>2850</v>
      </c>
      <c r="G101" s="163">
        <f t="shared" si="3"/>
        <v>2850000</v>
      </c>
      <c r="H101" s="30"/>
      <c r="K101" s="50"/>
    </row>
    <row r="102" spans="2:11" x14ac:dyDescent="0.3">
      <c r="C102" t="s">
        <v>97</v>
      </c>
      <c r="E102" s="14">
        <v>65000</v>
      </c>
      <c r="G102" s="163">
        <f t="shared" si="3"/>
        <v>65000000</v>
      </c>
      <c r="H102" s="30"/>
      <c r="K102" s="50"/>
    </row>
    <row r="103" spans="2:11" x14ac:dyDescent="0.3">
      <c r="C103" t="s">
        <v>98</v>
      </c>
      <c r="E103" s="14">
        <v>42865</v>
      </c>
      <c r="G103" s="163">
        <f t="shared" si="3"/>
        <v>42865000</v>
      </c>
      <c r="H103" s="30"/>
      <c r="K103" s="50"/>
    </row>
    <row r="104" spans="2:11" x14ac:dyDescent="0.3">
      <c r="C104" t="s">
        <v>99</v>
      </c>
      <c r="E104" s="14">
        <v>120000</v>
      </c>
      <c r="G104" s="163">
        <f t="shared" si="3"/>
        <v>120000000</v>
      </c>
      <c r="H104" s="30"/>
      <c r="K104" s="50">
        <f>G104</f>
        <v>120000000</v>
      </c>
    </row>
    <row r="105" spans="2:11" x14ac:dyDescent="0.3">
      <c r="C105" t="s">
        <v>100</v>
      </c>
      <c r="E105" s="14">
        <v>103100</v>
      </c>
      <c r="G105" s="163">
        <f t="shared" si="3"/>
        <v>103100000</v>
      </c>
      <c r="H105" s="30"/>
      <c r="K105" s="50"/>
    </row>
    <row r="106" spans="2:11" s="2" customFormat="1" x14ac:dyDescent="0.3">
      <c r="B106" s="2" t="s">
        <v>101</v>
      </c>
      <c r="E106" s="15">
        <v>523393</v>
      </c>
      <c r="F106" s="160"/>
      <c r="G106" s="17">
        <f t="shared" si="3"/>
        <v>523393000</v>
      </c>
      <c r="H106" s="33">
        <f>SUM(H107:H111)</f>
        <v>0</v>
      </c>
      <c r="I106" s="54"/>
      <c r="J106" s="54"/>
      <c r="K106" s="51">
        <f>SUM(K107:K111)</f>
        <v>426788000</v>
      </c>
    </row>
    <row r="107" spans="2:11" x14ac:dyDescent="0.3">
      <c r="C107" t="s">
        <v>102</v>
      </c>
      <c r="E107" s="14">
        <v>1600</v>
      </c>
      <c r="G107" s="163">
        <f t="shared" si="3"/>
        <v>1600000</v>
      </c>
      <c r="H107" s="30"/>
      <c r="K107" s="50"/>
    </row>
    <row r="108" spans="2:11" x14ac:dyDescent="0.3">
      <c r="C108" t="s">
        <v>103</v>
      </c>
      <c r="E108" s="14">
        <v>500</v>
      </c>
      <c r="G108" s="163">
        <f t="shared" si="3"/>
        <v>500000</v>
      </c>
      <c r="H108" s="30"/>
      <c r="K108" s="50"/>
    </row>
    <row r="109" spans="2:11" x14ac:dyDescent="0.3">
      <c r="C109" t="s">
        <v>104</v>
      </c>
      <c r="E109" s="14">
        <v>426788</v>
      </c>
      <c r="G109" s="163">
        <f t="shared" si="3"/>
        <v>426788000</v>
      </c>
      <c r="H109" s="30"/>
      <c r="K109" s="50">
        <f>G109</f>
        <v>426788000</v>
      </c>
    </row>
    <row r="110" spans="2:11" x14ac:dyDescent="0.3">
      <c r="C110" t="s">
        <v>105</v>
      </c>
      <c r="E110" s="14">
        <v>93200</v>
      </c>
      <c r="G110" s="163">
        <f t="shared" si="3"/>
        <v>93200000</v>
      </c>
      <c r="H110" s="30"/>
      <c r="K110" s="50"/>
    </row>
    <row r="111" spans="2:11" x14ac:dyDescent="0.3">
      <c r="C111" t="s">
        <v>106</v>
      </c>
      <c r="E111" s="14">
        <v>1305</v>
      </c>
      <c r="G111" s="163">
        <f t="shared" si="3"/>
        <v>1305000</v>
      </c>
      <c r="H111" s="30"/>
      <c r="K111" s="50"/>
    </row>
    <row r="112" spans="2:11" s="2" customFormat="1" x14ac:dyDescent="0.3">
      <c r="B112" s="2" t="s">
        <v>107</v>
      </c>
      <c r="E112" s="15">
        <v>52650</v>
      </c>
      <c r="F112" s="160"/>
      <c r="G112" s="17">
        <f t="shared" si="3"/>
        <v>52650000</v>
      </c>
      <c r="H112" s="33">
        <f>SUM(H113:H115)</f>
        <v>0</v>
      </c>
      <c r="I112" s="54"/>
      <c r="J112" s="54"/>
      <c r="K112" s="51">
        <f>SUM(K113:K115)</f>
        <v>0</v>
      </c>
    </row>
    <row r="113" spans="2:11" x14ac:dyDescent="0.3">
      <c r="C113" t="s">
        <v>108</v>
      </c>
      <c r="E113" s="14">
        <v>2150</v>
      </c>
      <c r="G113" s="163">
        <f t="shared" si="3"/>
        <v>2150000</v>
      </c>
      <c r="H113" s="30"/>
      <c r="K113" s="50"/>
    </row>
    <row r="114" spans="2:11" x14ac:dyDescent="0.3">
      <c r="C114" t="s">
        <v>109</v>
      </c>
      <c r="E114" s="14">
        <v>47000</v>
      </c>
      <c r="G114" s="163">
        <f t="shared" si="3"/>
        <v>47000000</v>
      </c>
      <c r="H114" s="30"/>
      <c r="K114" s="50"/>
    </row>
    <row r="115" spans="2:11" x14ac:dyDescent="0.3">
      <c r="C115" t="s">
        <v>110</v>
      </c>
      <c r="E115" s="14">
        <v>3500</v>
      </c>
      <c r="G115" s="163">
        <f t="shared" si="3"/>
        <v>3500000</v>
      </c>
      <c r="H115" s="30"/>
      <c r="K115" s="50"/>
    </row>
    <row r="116" spans="2:11" s="2" customFormat="1" x14ac:dyDescent="0.3">
      <c r="B116" s="2" t="s">
        <v>111</v>
      </c>
      <c r="E116" s="15">
        <v>296500</v>
      </c>
      <c r="F116" s="160"/>
      <c r="G116" s="17">
        <f t="shared" si="3"/>
        <v>296500000</v>
      </c>
      <c r="H116" s="33">
        <f>SUM(H117:H120)</f>
        <v>0</v>
      </c>
      <c r="I116" s="54"/>
      <c r="J116" s="54"/>
      <c r="K116" s="51">
        <f>SUM(K117:K120)</f>
        <v>0</v>
      </c>
    </row>
    <row r="117" spans="2:11" x14ac:dyDescent="0.3">
      <c r="C117" t="s">
        <v>112</v>
      </c>
      <c r="E117" s="14">
        <v>119000</v>
      </c>
      <c r="G117" s="163">
        <f t="shared" si="3"/>
        <v>119000000</v>
      </c>
      <c r="H117" s="30"/>
      <c r="K117" s="50"/>
    </row>
    <row r="118" spans="2:11" x14ac:dyDescent="0.3">
      <c r="C118" t="s">
        <v>113</v>
      </c>
      <c r="E118" s="14">
        <v>75000</v>
      </c>
      <c r="G118" s="163">
        <f t="shared" si="3"/>
        <v>75000000</v>
      </c>
      <c r="H118" s="30"/>
      <c r="K118" s="50"/>
    </row>
    <row r="119" spans="2:11" x14ac:dyDescent="0.3">
      <c r="C119" t="s">
        <v>114</v>
      </c>
      <c r="E119" s="14">
        <v>100000</v>
      </c>
      <c r="G119" s="163">
        <f t="shared" si="3"/>
        <v>100000000</v>
      </c>
      <c r="H119" s="30"/>
      <c r="K119" s="50"/>
    </row>
    <row r="120" spans="2:11" x14ac:dyDescent="0.3">
      <c r="C120" t="s">
        <v>115</v>
      </c>
      <c r="E120" s="14">
        <v>2500</v>
      </c>
      <c r="G120" s="163">
        <f t="shared" si="3"/>
        <v>2500000</v>
      </c>
      <c r="H120" s="30"/>
      <c r="K120" s="50"/>
    </row>
    <row r="121" spans="2:11" s="39" customFormat="1" ht="18" x14ac:dyDescent="0.35">
      <c r="B121" s="39" t="s">
        <v>116</v>
      </c>
      <c r="E121" s="40">
        <v>1646952</v>
      </c>
      <c r="F121" s="156">
        <f>G121/$G$19</f>
        <v>2.9921926567490001E-2</v>
      </c>
      <c r="G121" s="41">
        <f t="shared" ref="G121:G143" si="4">E121*1000</f>
        <v>1646952000</v>
      </c>
      <c r="H121" s="42">
        <f>H122+H127+H129+H131</f>
        <v>0</v>
      </c>
      <c r="I121" s="54"/>
      <c r="J121" s="54"/>
      <c r="K121" s="53">
        <f>K122+K127+K129+K131</f>
        <v>1380352000</v>
      </c>
    </row>
    <row r="122" spans="2:11" s="2" customFormat="1" x14ac:dyDescent="0.3">
      <c r="B122" s="2" t="s">
        <v>117</v>
      </c>
      <c r="E122" s="15">
        <v>109952</v>
      </c>
      <c r="F122" s="160"/>
      <c r="G122" s="17">
        <f t="shared" ref="G122:G132" si="5">E122*1000</f>
        <v>109952000</v>
      </c>
      <c r="H122" s="33">
        <f>SUM(H123:H125)</f>
        <v>0</v>
      </c>
      <c r="I122" s="54"/>
      <c r="J122" s="54"/>
      <c r="K122" s="51">
        <f>SUM(K123:K125)</f>
        <v>73352000</v>
      </c>
    </row>
    <row r="123" spans="2:11" x14ac:dyDescent="0.3">
      <c r="C123" t="s">
        <v>118</v>
      </c>
      <c r="E123" s="14">
        <v>12500</v>
      </c>
      <c r="G123" s="163">
        <f t="shared" si="5"/>
        <v>12500000</v>
      </c>
      <c r="H123" s="30"/>
      <c r="K123" s="50"/>
    </row>
    <row r="124" spans="2:11" x14ac:dyDescent="0.3">
      <c r="C124" t="s">
        <v>119</v>
      </c>
      <c r="E124" s="14">
        <v>73352</v>
      </c>
      <c r="G124" s="163">
        <f t="shared" si="5"/>
        <v>73352000</v>
      </c>
      <c r="H124" s="30"/>
      <c r="K124" s="50">
        <f>G124</f>
        <v>73352000</v>
      </c>
    </row>
    <row r="125" spans="2:11" x14ac:dyDescent="0.3">
      <c r="C125" t="s">
        <v>120</v>
      </c>
      <c r="E125" s="14">
        <v>1100</v>
      </c>
      <c r="G125" s="163">
        <f t="shared" si="5"/>
        <v>1100000</v>
      </c>
      <c r="H125" s="30"/>
      <c r="K125" s="50"/>
    </row>
    <row r="126" spans="2:11" x14ac:dyDescent="0.3">
      <c r="C126" t="s">
        <v>121</v>
      </c>
      <c r="E126" s="14">
        <v>23000</v>
      </c>
      <c r="G126" s="163">
        <f t="shared" si="5"/>
        <v>23000000</v>
      </c>
      <c r="H126" s="30"/>
      <c r="K126" s="50"/>
    </row>
    <row r="127" spans="2:11" s="2" customFormat="1" x14ac:dyDescent="0.3">
      <c r="B127" s="2" t="s">
        <v>122</v>
      </c>
      <c r="E127" s="15">
        <v>1209000</v>
      </c>
      <c r="F127" s="158"/>
      <c r="G127" s="17">
        <f t="shared" si="5"/>
        <v>1209000000</v>
      </c>
      <c r="H127" s="33">
        <f>SUM(H128)</f>
        <v>0</v>
      </c>
      <c r="I127" s="54"/>
      <c r="J127" s="54"/>
      <c r="K127" s="51">
        <f>SUM(K128)</f>
        <v>1209000000</v>
      </c>
    </row>
    <row r="128" spans="2:11" x14ac:dyDescent="0.3">
      <c r="C128" t="s">
        <v>123</v>
      </c>
      <c r="E128" s="14">
        <v>1209000</v>
      </c>
      <c r="G128" s="163">
        <f t="shared" si="5"/>
        <v>1209000000</v>
      </c>
      <c r="H128" s="30"/>
      <c r="K128" s="50">
        <f>G128</f>
        <v>1209000000</v>
      </c>
    </row>
    <row r="129" spans="2:11" s="2" customFormat="1" x14ac:dyDescent="0.3">
      <c r="B129" s="2" t="s">
        <v>124</v>
      </c>
      <c r="E129" s="15">
        <v>98000</v>
      </c>
      <c r="F129" s="158"/>
      <c r="G129" s="17">
        <f t="shared" si="5"/>
        <v>98000000</v>
      </c>
      <c r="H129" s="33">
        <f>SUM(H130)</f>
        <v>0</v>
      </c>
      <c r="I129" s="54"/>
      <c r="J129" s="54"/>
      <c r="K129" s="51">
        <f>SUM(K130)</f>
        <v>98000000</v>
      </c>
    </row>
    <row r="130" spans="2:11" x14ac:dyDescent="0.3">
      <c r="C130" t="s">
        <v>125</v>
      </c>
      <c r="E130" s="14">
        <v>98000</v>
      </c>
      <c r="G130" s="163">
        <f t="shared" si="5"/>
        <v>98000000</v>
      </c>
      <c r="H130" s="30"/>
      <c r="K130" s="50">
        <f>G130</f>
        <v>98000000</v>
      </c>
    </row>
    <row r="131" spans="2:11" s="2" customFormat="1" x14ac:dyDescent="0.3">
      <c r="B131" s="2" t="s">
        <v>126</v>
      </c>
      <c r="E131" s="15">
        <v>230000</v>
      </c>
      <c r="F131" s="158"/>
      <c r="G131" s="17">
        <f t="shared" si="5"/>
        <v>230000000</v>
      </c>
      <c r="H131" s="33">
        <f>SUM(H132)</f>
        <v>0</v>
      </c>
      <c r="I131" s="54"/>
      <c r="J131" s="54"/>
      <c r="K131" s="51">
        <f>SUM(K132)</f>
        <v>0</v>
      </c>
    </row>
    <row r="132" spans="2:11" x14ac:dyDescent="0.3">
      <c r="C132" t="s">
        <v>127</v>
      </c>
      <c r="E132" s="14">
        <v>230000</v>
      </c>
      <c r="G132" s="163">
        <f t="shared" si="5"/>
        <v>230000000</v>
      </c>
      <c r="H132" s="30"/>
      <c r="K132" s="50"/>
    </row>
    <row r="133" spans="2:11" s="39" customFormat="1" ht="18" x14ac:dyDescent="0.35">
      <c r="B133" s="39" t="s">
        <v>128</v>
      </c>
      <c r="E133" s="40">
        <v>6427031</v>
      </c>
      <c r="F133" s="156">
        <f>G133/$G$19</f>
        <v>0.11676669971497762</v>
      </c>
      <c r="G133" s="41">
        <f t="shared" si="4"/>
        <v>6427031000</v>
      </c>
      <c r="H133" s="42">
        <f>H134+H137</f>
        <v>0</v>
      </c>
      <c r="I133" s="54"/>
      <c r="J133" s="54"/>
      <c r="K133" s="53">
        <f>K134+K137</f>
        <v>6358231000</v>
      </c>
    </row>
    <row r="134" spans="2:11" s="2" customFormat="1" x14ac:dyDescent="0.3">
      <c r="B134" s="2" t="s">
        <v>129</v>
      </c>
      <c r="E134" s="15">
        <v>466800</v>
      </c>
      <c r="F134" s="160"/>
      <c r="G134" s="15">
        <f>E134*1000</f>
        <v>466800000</v>
      </c>
      <c r="H134" s="33">
        <f>SUM(H135:H136)</f>
        <v>0</v>
      </c>
      <c r="I134" s="54"/>
      <c r="J134" s="54"/>
      <c r="K134" s="51">
        <f>SUM(K135:K136)</f>
        <v>398000000</v>
      </c>
    </row>
    <row r="135" spans="2:11" x14ac:dyDescent="0.3">
      <c r="C135" t="s">
        <v>130</v>
      </c>
      <c r="E135" s="14">
        <v>68800</v>
      </c>
      <c r="G135" s="163">
        <f>E135*1000</f>
        <v>68800000</v>
      </c>
      <c r="H135" s="30"/>
      <c r="K135" s="50"/>
    </row>
    <row r="136" spans="2:11" x14ac:dyDescent="0.3">
      <c r="C136" t="s">
        <v>131</v>
      </c>
      <c r="E136" s="14">
        <v>398000</v>
      </c>
      <c r="G136" s="163">
        <f>E136*1000</f>
        <v>398000000</v>
      </c>
      <c r="H136" s="30"/>
      <c r="K136" s="50">
        <f>G136</f>
        <v>398000000</v>
      </c>
    </row>
    <row r="137" spans="2:11" s="2" customFormat="1" x14ac:dyDescent="0.3">
      <c r="B137" s="2" t="s">
        <v>132</v>
      </c>
      <c r="E137" s="15">
        <v>5960231</v>
      </c>
      <c r="F137" s="158"/>
      <c r="G137" s="15">
        <f>E137*1000</f>
        <v>5960231000</v>
      </c>
      <c r="H137" s="33">
        <f>SUM(H138)</f>
        <v>0</v>
      </c>
      <c r="I137" s="54"/>
      <c r="J137" s="54"/>
      <c r="K137" s="51">
        <f>SUM(K138)</f>
        <v>5960231000</v>
      </c>
    </row>
    <row r="138" spans="2:11" x14ac:dyDescent="0.3">
      <c r="C138" t="s">
        <v>133</v>
      </c>
      <c r="E138" s="14">
        <v>5960231</v>
      </c>
      <c r="G138" s="163">
        <f>E138*1000</f>
        <v>5960231000</v>
      </c>
      <c r="H138" s="30"/>
      <c r="K138" s="50">
        <f>G138</f>
        <v>5960231000</v>
      </c>
    </row>
    <row r="139" spans="2:11" x14ac:dyDescent="0.3">
      <c r="G139" s="4"/>
      <c r="H139" s="30"/>
    </row>
    <row r="140" spans="2:11" x14ac:dyDescent="0.3">
      <c r="G140" s="4"/>
      <c r="H140" s="30"/>
    </row>
    <row r="141" spans="2:11" s="39" customFormat="1" ht="18" x14ac:dyDescent="0.35">
      <c r="B141" s="39" t="s">
        <v>134</v>
      </c>
      <c r="E141" s="43"/>
      <c r="F141" s="156">
        <f>H141/G141</f>
        <v>6.2776251065034525E-2</v>
      </c>
      <c r="G141" s="41">
        <f>G143+G170+G182+G206+G232+G265+G299+G316+G404+G500+G564+G603+G674+G772+G800</f>
        <v>55041643000</v>
      </c>
      <c r="H141" s="42">
        <f>H143+H170+H182+H206+H232+H265+H299+H316+H404+H500+H564+H603+H674+H772+H800</f>
        <v>3455308000</v>
      </c>
      <c r="I141" s="54"/>
      <c r="J141" s="54"/>
      <c r="K141" s="48"/>
    </row>
    <row r="142" spans="2:11" x14ac:dyDescent="0.3">
      <c r="G142" s="4">
        <f>G141/Ihmismäärät!$C$14</f>
        <v>10040.431047063115</v>
      </c>
      <c r="H142" s="30"/>
    </row>
    <row r="143" spans="2:11" s="39" customFormat="1" ht="18" x14ac:dyDescent="0.35">
      <c r="B143" s="39" t="s">
        <v>135</v>
      </c>
      <c r="E143" s="40">
        <v>162876</v>
      </c>
      <c r="F143" s="156">
        <f>G143/$G$141</f>
        <v>2.9591413177837006E-3</v>
      </c>
      <c r="G143" s="41">
        <f t="shared" si="4"/>
        <v>162876000</v>
      </c>
      <c r="H143" s="42">
        <f>H145+H148+H156+H159+H163+H167</f>
        <v>8247000</v>
      </c>
      <c r="I143" s="54"/>
      <c r="J143" s="54"/>
      <c r="K143" s="48"/>
    </row>
    <row r="144" spans="2:11" s="39" customFormat="1" ht="18" x14ac:dyDescent="0.35">
      <c r="E144" s="40"/>
      <c r="F144" s="157"/>
      <c r="G144" s="4">
        <f>G143/Ihmismäärät!$C$14</f>
        <v>29.711054359722731</v>
      </c>
      <c r="H144" s="42"/>
      <c r="I144" s="54"/>
      <c r="J144" s="54"/>
      <c r="K144" s="48"/>
    </row>
    <row r="145" spans="2:11" s="2" customFormat="1" x14ac:dyDescent="0.3">
      <c r="B145" s="2" t="s">
        <v>136</v>
      </c>
      <c r="E145" s="15">
        <v>21783</v>
      </c>
      <c r="F145" s="158"/>
      <c r="G145" s="17">
        <f>E145*1000</f>
        <v>21783000</v>
      </c>
      <c r="H145" s="33">
        <f>SUM(H146)</f>
        <v>0</v>
      </c>
      <c r="I145" s="54"/>
      <c r="J145" s="54"/>
      <c r="K145" s="49"/>
    </row>
    <row r="146" spans="2:11" x14ac:dyDescent="0.3">
      <c r="C146" t="s">
        <v>137</v>
      </c>
      <c r="E146" s="14">
        <v>21783</v>
      </c>
      <c r="F146" s="163">
        <f>E146*1000</f>
        <v>21783000</v>
      </c>
      <c r="H146" s="30"/>
    </row>
    <row r="147" spans="2:11" x14ac:dyDescent="0.3">
      <c r="F147" s="163"/>
      <c r="H147" s="30"/>
    </row>
    <row r="148" spans="2:11" s="2" customFormat="1" x14ac:dyDescent="0.3">
      <c r="B148" s="2" t="s">
        <v>138</v>
      </c>
      <c r="E148" s="15">
        <v>110873</v>
      </c>
      <c r="F148" s="159"/>
      <c r="G148" s="17">
        <f>E148*1000</f>
        <v>110873000</v>
      </c>
      <c r="H148" s="33">
        <f>SUM(H149:H154)</f>
        <v>4164000</v>
      </c>
      <c r="I148" s="54"/>
      <c r="J148" s="54"/>
      <c r="K148" s="49"/>
    </row>
    <row r="149" spans="2:11" x14ac:dyDescent="0.3">
      <c r="C149" t="s">
        <v>139</v>
      </c>
      <c r="E149" s="14">
        <v>52382</v>
      </c>
      <c r="F149" s="163">
        <f t="shared" ref="F149:F154" si="6">E149*1000</f>
        <v>52382000</v>
      </c>
      <c r="H149" s="30"/>
    </row>
    <row r="150" spans="2:11" x14ac:dyDescent="0.3">
      <c r="C150" t="s">
        <v>140</v>
      </c>
      <c r="E150" s="14">
        <v>4937</v>
      </c>
      <c r="F150" s="163">
        <f t="shared" si="6"/>
        <v>4937000</v>
      </c>
      <c r="H150" s="30"/>
    </row>
    <row r="151" spans="2:11" s="28" customFormat="1" x14ac:dyDescent="0.3">
      <c r="C151" s="28" t="s">
        <v>141</v>
      </c>
      <c r="E151" s="29">
        <v>15000</v>
      </c>
      <c r="F151" s="163">
        <f t="shared" si="6"/>
        <v>15000000</v>
      </c>
      <c r="H151" s="30"/>
      <c r="I151" s="54"/>
      <c r="J151" s="54"/>
      <c r="K151" s="47"/>
    </row>
    <row r="152" spans="2:11" x14ac:dyDescent="0.3">
      <c r="C152" t="s">
        <v>142</v>
      </c>
      <c r="E152" s="14">
        <v>4164</v>
      </c>
      <c r="F152" s="163">
        <f t="shared" si="6"/>
        <v>4164000</v>
      </c>
      <c r="H152" s="30">
        <f>F152</f>
        <v>4164000</v>
      </c>
    </row>
    <row r="153" spans="2:11" x14ac:dyDescent="0.3">
      <c r="C153" t="s">
        <v>143</v>
      </c>
      <c r="E153" s="14">
        <v>2390</v>
      </c>
      <c r="F153" s="163">
        <f t="shared" si="6"/>
        <v>2390000</v>
      </c>
      <c r="H153" s="30"/>
    </row>
    <row r="154" spans="2:11" x14ac:dyDescent="0.3">
      <c r="C154" t="s">
        <v>144</v>
      </c>
      <c r="E154" s="14">
        <v>32000</v>
      </c>
      <c r="F154" s="163">
        <f t="shared" si="6"/>
        <v>32000000</v>
      </c>
      <c r="H154" s="30"/>
    </row>
    <row r="155" spans="2:11" x14ac:dyDescent="0.3">
      <c r="F155" s="163"/>
      <c r="H155" s="30"/>
    </row>
    <row r="156" spans="2:11" s="2" customFormat="1" x14ac:dyDescent="0.3">
      <c r="B156" s="2" t="s">
        <v>145</v>
      </c>
      <c r="E156" s="15">
        <v>6494</v>
      </c>
      <c r="F156" s="159"/>
      <c r="G156" s="17">
        <f>E156*1000</f>
        <v>6494000</v>
      </c>
      <c r="H156" s="33">
        <f>SUM(H157)</f>
        <v>0</v>
      </c>
      <c r="I156" s="54"/>
      <c r="J156" s="54"/>
      <c r="K156" s="49"/>
    </row>
    <row r="157" spans="2:11" x14ac:dyDescent="0.3">
      <c r="C157" t="s">
        <v>146</v>
      </c>
      <c r="E157" s="14">
        <v>6494</v>
      </c>
      <c r="F157" s="163">
        <f>E157*1000</f>
        <v>6494000</v>
      </c>
      <c r="H157" s="30"/>
    </row>
    <row r="158" spans="2:11" x14ac:dyDescent="0.3">
      <c r="F158" s="163"/>
      <c r="H158" s="30"/>
    </row>
    <row r="159" spans="2:11" s="2" customFormat="1" x14ac:dyDescent="0.3">
      <c r="B159" s="2" t="s">
        <v>147</v>
      </c>
      <c r="E159" s="15">
        <v>3608</v>
      </c>
      <c r="F159" s="158"/>
      <c r="G159" s="17">
        <f>E159*1000</f>
        <v>3608000</v>
      </c>
      <c r="H159" s="33">
        <f>SUM(H160:H161)</f>
        <v>0</v>
      </c>
      <c r="I159" s="54"/>
      <c r="J159" s="54"/>
      <c r="K159" s="49"/>
    </row>
    <row r="160" spans="2:11" x14ac:dyDescent="0.3">
      <c r="C160" t="s">
        <v>148</v>
      </c>
      <c r="E160" s="14">
        <v>3413</v>
      </c>
      <c r="F160" s="163">
        <f>E160*1000</f>
        <v>3413000</v>
      </c>
      <c r="H160" s="30"/>
    </row>
    <row r="161" spans="2:11" x14ac:dyDescent="0.3">
      <c r="C161" t="s">
        <v>141</v>
      </c>
      <c r="E161" s="14">
        <v>195</v>
      </c>
      <c r="F161" s="163">
        <f>E161*1000</f>
        <v>195000</v>
      </c>
      <c r="H161" s="30"/>
    </row>
    <row r="162" spans="2:11" x14ac:dyDescent="0.3">
      <c r="F162" s="163"/>
      <c r="H162" s="30"/>
    </row>
    <row r="163" spans="2:11" s="2" customFormat="1" x14ac:dyDescent="0.3">
      <c r="B163" s="2" t="s">
        <v>149</v>
      </c>
      <c r="E163" s="15">
        <v>16035</v>
      </c>
      <c r="F163" s="158"/>
      <c r="G163" s="17">
        <f>E163*1000</f>
        <v>16035000</v>
      </c>
      <c r="H163" s="33">
        <f>SUM(H164:H165)</f>
        <v>0</v>
      </c>
      <c r="I163" s="54"/>
      <c r="J163" s="54"/>
      <c r="K163" s="49"/>
    </row>
    <row r="164" spans="2:11" x14ac:dyDescent="0.3">
      <c r="C164" t="s">
        <v>150</v>
      </c>
      <c r="E164" s="14">
        <v>15460</v>
      </c>
      <c r="F164" s="163">
        <f>E164*1000</f>
        <v>15460000</v>
      </c>
      <c r="H164" s="30"/>
    </row>
    <row r="165" spans="2:11" x14ac:dyDescent="0.3">
      <c r="C165" t="s">
        <v>141</v>
      </c>
      <c r="E165" s="14">
        <v>575</v>
      </c>
      <c r="F165" s="163">
        <f>E165*1000</f>
        <v>575000</v>
      </c>
      <c r="H165" s="30"/>
    </row>
    <row r="166" spans="2:11" x14ac:dyDescent="0.3">
      <c r="F166" s="163"/>
      <c r="H166" s="30"/>
    </row>
    <row r="167" spans="2:11" s="2" customFormat="1" x14ac:dyDescent="0.3">
      <c r="B167" s="2" t="s">
        <v>151</v>
      </c>
      <c r="E167" s="15">
        <v>4083</v>
      </c>
      <c r="F167" s="158"/>
      <c r="G167" s="17">
        <f>E167*1000</f>
        <v>4083000</v>
      </c>
      <c r="H167" s="33">
        <f>SUM(H168)</f>
        <v>4083000</v>
      </c>
      <c r="I167" s="54"/>
      <c r="J167" s="54"/>
      <c r="K167" s="49"/>
    </row>
    <row r="168" spans="2:11" x14ac:dyDescent="0.3">
      <c r="C168" t="s">
        <v>152</v>
      </c>
      <c r="E168" s="14">
        <v>4083</v>
      </c>
      <c r="F168" s="163">
        <f>E168*1000</f>
        <v>4083000</v>
      </c>
      <c r="H168" s="30">
        <f>F168</f>
        <v>4083000</v>
      </c>
    </row>
    <row r="169" spans="2:11" x14ac:dyDescent="0.3">
      <c r="G169" s="4"/>
      <c r="H169" s="30"/>
    </row>
    <row r="170" spans="2:11" s="39" customFormat="1" ht="18" x14ac:dyDescent="0.35">
      <c r="B170" s="39" t="s">
        <v>153</v>
      </c>
      <c r="E170" s="40">
        <v>13456</v>
      </c>
      <c r="F170" s="156">
        <f>G170/$G$141</f>
        <v>2.4446944652433431E-4</v>
      </c>
      <c r="G170" s="41">
        <f t="shared" ref="G170:G234" si="7">E170*1000</f>
        <v>13456000</v>
      </c>
      <c r="H170" s="42">
        <f>H172+H177</f>
        <v>0</v>
      </c>
      <c r="I170" s="54"/>
      <c r="J170" s="54"/>
      <c r="K170" s="48"/>
    </row>
    <row r="171" spans="2:11" s="39" customFormat="1" ht="18" x14ac:dyDescent="0.35">
      <c r="E171" s="40"/>
      <c r="F171" s="157"/>
      <c r="G171" s="4">
        <f>G170/Ihmismäärät!$C$14</f>
        <v>2.4545786209412621</v>
      </c>
      <c r="H171" s="42"/>
      <c r="I171" s="54"/>
      <c r="J171" s="54"/>
      <c r="K171" s="48"/>
    </row>
    <row r="172" spans="2:11" s="2" customFormat="1" x14ac:dyDescent="0.3">
      <c r="B172" s="2" t="s">
        <v>154</v>
      </c>
      <c r="E172" s="15">
        <v>2875</v>
      </c>
      <c r="F172" s="159"/>
      <c r="G172" s="17">
        <f t="shared" si="7"/>
        <v>2875000</v>
      </c>
      <c r="H172" s="33">
        <f>SUM(H173:H175)</f>
        <v>0</v>
      </c>
      <c r="I172" s="54"/>
      <c r="J172" s="54"/>
      <c r="K172" s="49"/>
    </row>
    <row r="173" spans="2:11" x14ac:dyDescent="0.3">
      <c r="C173" t="s">
        <v>155</v>
      </c>
      <c r="E173" s="14">
        <v>126</v>
      </c>
      <c r="F173" s="163">
        <f>E173*1000</f>
        <v>126000</v>
      </c>
      <c r="H173" s="30"/>
    </row>
    <row r="174" spans="2:11" x14ac:dyDescent="0.3">
      <c r="C174" t="s">
        <v>156</v>
      </c>
      <c r="E174" s="14">
        <v>199</v>
      </c>
      <c r="F174" s="163">
        <f>E174*1000</f>
        <v>199000</v>
      </c>
      <c r="H174" s="30"/>
    </row>
    <row r="175" spans="2:11" x14ac:dyDescent="0.3">
      <c r="C175" t="s">
        <v>157</v>
      </c>
      <c r="E175" s="14">
        <v>2550</v>
      </c>
      <c r="F175" s="163">
        <f>E175*1000</f>
        <v>2550000</v>
      </c>
      <c r="H175" s="30"/>
    </row>
    <row r="176" spans="2:11" x14ac:dyDescent="0.3">
      <c r="G176" s="4"/>
      <c r="H176" s="30"/>
    </row>
    <row r="177" spans="2:11" s="2" customFormat="1" x14ac:dyDescent="0.3">
      <c r="B177" s="2" t="s">
        <v>158</v>
      </c>
      <c r="E177" s="15">
        <v>10581</v>
      </c>
      <c r="F177" s="159"/>
      <c r="G177" s="17">
        <f t="shared" si="7"/>
        <v>10581000</v>
      </c>
      <c r="H177" s="33">
        <f>SUM(H178:H180)</f>
        <v>0</v>
      </c>
      <c r="I177" s="54"/>
      <c r="J177" s="54"/>
      <c r="K177" s="49"/>
    </row>
    <row r="178" spans="2:11" x14ac:dyDescent="0.3">
      <c r="C178" t="s">
        <v>159</v>
      </c>
      <c r="E178" s="14">
        <v>7481</v>
      </c>
      <c r="F178" s="163">
        <f>E178*1000</f>
        <v>7481000</v>
      </c>
      <c r="H178" s="30"/>
    </row>
    <row r="179" spans="2:11" x14ac:dyDescent="0.3">
      <c r="C179" t="s">
        <v>160</v>
      </c>
      <c r="E179" s="14">
        <v>600</v>
      </c>
      <c r="F179" s="163">
        <f>E179*1000</f>
        <v>600000</v>
      </c>
      <c r="H179" s="30"/>
    </row>
    <row r="180" spans="2:11" s="28" customFormat="1" x14ac:dyDescent="0.3">
      <c r="C180" s="28" t="s">
        <v>141</v>
      </c>
      <c r="E180" s="29">
        <v>2500</v>
      </c>
      <c r="F180" s="163">
        <f>E180*1000</f>
        <v>2500000</v>
      </c>
      <c r="H180" s="30"/>
      <c r="I180" s="54"/>
      <c r="J180" s="54"/>
      <c r="K180" s="47"/>
    </row>
    <row r="181" spans="2:11" x14ac:dyDescent="0.3">
      <c r="G181" s="4"/>
      <c r="H181" s="30"/>
    </row>
    <row r="182" spans="2:11" s="39" customFormat="1" ht="18" x14ac:dyDescent="0.35">
      <c r="B182" s="39" t="s">
        <v>161</v>
      </c>
      <c r="E182" s="40">
        <v>210596</v>
      </c>
      <c r="F182" s="156">
        <f>G182/$G$141</f>
        <v>3.8261212515040659E-3</v>
      </c>
      <c r="G182" s="41">
        <f t="shared" si="7"/>
        <v>210596000</v>
      </c>
      <c r="H182" s="42">
        <f>H184+H193+H196+H199+H202</f>
        <v>54235000</v>
      </c>
      <c r="I182" s="54"/>
      <c r="J182" s="54"/>
      <c r="K182" s="48"/>
    </row>
    <row r="183" spans="2:11" s="39" customFormat="1" ht="18" x14ac:dyDescent="0.35">
      <c r="E183" s="40"/>
      <c r="F183" s="157"/>
      <c r="G183" s="4">
        <f>G182/Ihmismäärät!$C$14</f>
        <v>38.415906603429406</v>
      </c>
      <c r="H183" s="42"/>
      <c r="I183" s="54"/>
      <c r="J183" s="54"/>
      <c r="K183" s="48"/>
    </row>
    <row r="184" spans="2:11" s="2" customFormat="1" x14ac:dyDescent="0.3">
      <c r="B184" s="2" t="s">
        <v>162</v>
      </c>
      <c r="E184" s="15">
        <v>165290</v>
      </c>
      <c r="F184" s="159"/>
      <c r="G184" s="17">
        <f t="shared" si="7"/>
        <v>165290000</v>
      </c>
      <c r="H184" s="33">
        <f>SUM(H185:H191)</f>
        <v>13400000</v>
      </c>
      <c r="I184" s="54"/>
      <c r="J184" s="54"/>
      <c r="K184" s="49"/>
    </row>
    <row r="185" spans="2:11" x14ac:dyDescent="0.3">
      <c r="C185" t="s">
        <v>163</v>
      </c>
      <c r="E185" s="14">
        <v>125013</v>
      </c>
      <c r="F185" s="163">
        <f t="shared" ref="F185:F191" si="8">E185*1000</f>
        <v>125013000</v>
      </c>
      <c r="H185" s="30"/>
    </row>
    <row r="186" spans="2:11" x14ac:dyDescent="0.3">
      <c r="C186" t="s">
        <v>164</v>
      </c>
      <c r="E186" s="14">
        <v>5575</v>
      </c>
      <c r="F186" s="163">
        <f t="shared" si="8"/>
        <v>5575000</v>
      </c>
      <c r="H186" s="30"/>
    </row>
    <row r="187" spans="2:11" x14ac:dyDescent="0.3">
      <c r="C187" s="19" t="s">
        <v>165</v>
      </c>
      <c r="D187" s="19"/>
      <c r="E187" s="20">
        <v>1000</v>
      </c>
      <c r="F187" s="166">
        <f t="shared" si="8"/>
        <v>1000000</v>
      </c>
      <c r="H187" s="30"/>
    </row>
    <row r="188" spans="2:11" x14ac:dyDescent="0.3">
      <c r="C188" t="s">
        <v>166</v>
      </c>
      <c r="E188" s="14">
        <v>867</v>
      </c>
      <c r="F188" s="163">
        <f t="shared" si="8"/>
        <v>867000</v>
      </c>
      <c r="H188" s="30"/>
    </row>
    <row r="189" spans="2:11" x14ac:dyDescent="0.3">
      <c r="C189" t="s">
        <v>167</v>
      </c>
      <c r="E189" s="14">
        <v>11400</v>
      </c>
      <c r="F189" s="163">
        <f t="shared" si="8"/>
        <v>11400000</v>
      </c>
      <c r="H189" s="30">
        <f>F189</f>
        <v>11400000</v>
      </c>
    </row>
    <row r="190" spans="2:11" x14ac:dyDescent="0.3">
      <c r="C190" t="s">
        <v>168</v>
      </c>
      <c r="E190" s="14">
        <v>2000</v>
      </c>
      <c r="F190" s="163">
        <f t="shared" si="8"/>
        <v>2000000</v>
      </c>
      <c r="H190" s="30">
        <f>F190</f>
        <v>2000000</v>
      </c>
    </row>
    <row r="191" spans="2:11" x14ac:dyDescent="0.3">
      <c r="C191" t="s">
        <v>141</v>
      </c>
      <c r="E191" s="14">
        <v>19435</v>
      </c>
      <c r="F191" s="163">
        <f t="shared" si="8"/>
        <v>19435000</v>
      </c>
      <c r="H191" s="30"/>
    </row>
    <row r="192" spans="2:11" x14ac:dyDescent="0.3">
      <c r="G192" s="4"/>
      <c r="H192" s="30"/>
    </row>
    <row r="193" spans="2:11" s="2" customFormat="1" x14ac:dyDescent="0.3">
      <c r="B193" s="2" t="s">
        <v>169</v>
      </c>
      <c r="E193" s="15">
        <v>5700</v>
      </c>
      <c r="F193" s="159"/>
      <c r="G193" s="17">
        <f t="shared" si="7"/>
        <v>5700000</v>
      </c>
      <c r="H193" s="33">
        <f>SUM(H194)</f>
        <v>5700000</v>
      </c>
      <c r="I193" s="54"/>
      <c r="J193" s="54"/>
      <c r="K193" s="49"/>
    </row>
    <row r="194" spans="2:11" x14ac:dyDescent="0.3">
      <c r="C194" t="s">
        <v>170</v>
      </c>
      <c r="E194" s="14">
        <v>5700</v>
      </c>
      <c r="F194" s="163">
        <f>E194*1000</f>
        <v>5700000</v>
      </c>
      <c r="H194" s="30">
        <f>F194</f>
        <v>5700000</v>
      </c>
    </row>
    <row r="195" spans="2:11" x14ac:dyDescent="0.3">
      <c r="G195" s="4"/>
      <c r="H195" s="30"/>
    </row>
    <row r="196" spans="2:11" s="2" customFormat="1" x14ac:dyDescent="0.3">
      <c r="B196" s="2" t="s">
        <v>171</v>
      </c>
      <c r="E196" s="15">
        <v>29635</v>
      </c>
      <c r="F196" s="159"/>
      <c r="G196" s="17">
        <f t="shared" si="7"/>
        <v>29635000</v>
      </c>
      <c r="H196" s="33">
        <f>SUM(H197)</f>
        <v>29635000</v>
      </c>
      <c r="I196" s="54"/>
      <c r="J196" s="54"/>
      <c r="K196" s="49"/>
    </row>
    <row r="197" spans="2:11" x14ac:dyDescent="0.3">
      <c r="C197" t="s">
        <v>172</v>
      </c>
      <c r="E197" s="14">
        <v>29635</v>
      </c>
      <c r="F197" s="163">
        <f>E197*1000</f>
        <v>29635000</v>
      </c>
      <c r="H197" s="30">
        <f>F197</f>
        <v>29635000</v>
      </c>
    </row>
    <row r="198" spans="2:11" x14ac:dyDescent="0.3">
      <c r="G198" s="4"/>
      <c r="H198" s="30"/>
    </row>
    <row r="199" spans="2:11" s="2" customFormat="1" x14ac:dyDescent="0.3">
      <c r="B199" s="2" t="s">
        <v>173</v>
      </c>
      <c r="E199" s="15">
        <v>3631</v>
      </c>
      <c r="F199" s="159"/>
      <c r="G199" s="17">
        <f t="shared" si="7"/>
        <v>3631000</v>
      </c>
      <c r="H199" s="33">
        <f>SUM(H200)</f>
        <v>0</v>
      </c>
      <c r="I199" s="54"/>
      <c r="J199" s="54"/>
      <c r="K199" s="49"/>
    </row>
    <row r="200" spans="2:11" x14ac:dyDescent="0.3">
      <c r="C200" t="s">
        <v>174</v>
      </c>
      <c r="E200" s="14">
        <v>3631</v>
      </c>
      <c r="F200" s="163">
        <f>E200*1000</f>
        <v>3631000</v>
      </c>
      <c r="H200" s="30"/>
    </row>
    <row r="201" spans="2:11" x14ac:dyDescent="0.3">
      <c r="G201" s="4"/>
      <c r="H201" s="30"/>
    </row>
    <row r="202" spans="2:11" s="2" customFormat="1" x14ac:dyDescent="0.3">
      <c r="B202" s="2" t="s">
        <v>175</v>
      </c>
      <c r="E202" s="15">
        <v>6340</v>
      </c>
      <c r="F202" s="159"/>
      <c r="G202" s="17">
        <f t="shared" si="7"/>
        <v>6340000</v>
      </c>
      <c r="H202" s="33">
        <f>SUM(H203:H204)</f>
        <v>5500000</v>
      </c>
      <c r="I202" s="54"/>
      <c r="J202" s="54"/>
      <c r="K202" s="49"/>
    </row>
    <row r="203" spans="2:11" x14ac:dyDescent="0.3">
      <c r="C203" t="s">
        <v>176</v>
      </c>
      <c r="E203" s="14">
        <v>840</v>
      </c>
      <c r="F203" s="163">
        <f>E203*1000</f>
        <v>840000</v>
      </c>
      <c r="H203" s="30"/>
    </row>
    <row r="204" spans="2:11" x14ac:dyDescent="0.3">
      <c r="C204" t="s">
        <v>177</v>
      </c>
      <c r="E204" s="14">
        <v>5500</v>
      </c>
      <c r="F204" s="163">
        <f>E204*1000</f>
        <v>5500000</v>
      </c>
      <c r="H204" s="30">
        <f>F204</f>
        <v>5500000</v>
      </c>
    </row>
    <row r="205" spans="2:11" x14ac:dyDescent="0.3">
      <c r="G205" s="4"/>
      <c r="H205" s="30"/>
    </row>
    <row r="206" spans="2:11" s="39" customFormat="1" ht="18" x14ac:dyDescent="0.35">
      <c r="B206" s="39" t="s">
        <v>178</v>
      </c>
      <c r="E206" s="40">
        <v>1060213</v>
      </c>
      <c r="F206" s="156">
        <f>G206/$G$141</f>
        <v>1.9262015852252085E-2</v>
      </c>
      <c r="G206" s="41">
        <f t="shared" si="7"/>
        <v>1060213000</v>
      </c>
      <c r="H206" s="42">
        <f>H208+H215+H219+H224</f>
        <v>88305000</v>
      </c>
      <c r="I206" s="54"/>
      <c r="J206" s="54"/>
      <c r="K206" s="48"/>
    </row>
    <row r="207" spans="2:11" s="39" customFormat="1" ht="18" x14ac:dyDescent="0.35">
      <c r="E207" s="40"/>
      <c r="F207" s="157"/>
      <c r="G207" s="4">
        <f>G206/Ihmismäärät!$C$14</f>
        <v>193.39894199197374</v>
      </c>
      <c r="H207" s="42"/>
      <c r="I207" s="54"/>
      <c r="J207" s="54"/>
      <c r="K207" s="48"/>
    </row>
    <row r="208" spans="2:11" s="2" customFormat="1" x14ac:dyDescent="0.3">
      <c r="B208" s="2" t="s">
        <v>179</v>
      </c>
      <c r="E208" s="15">
        <v>253014</v>
      </c>
      <c r="F208" s="159"/>
      <c r="G208" s="17">
        <f t="shared" si="7"/>
        <v>253014000</v>
      </c>
      <c r="H208" s="33">
        <f>SUM(H209:H213)</f>
        <v>0</v>
      </c>
      <c r="I208" s="54"/>
      <c r="J208" s="54"/>
      <c r="K208" s="49"/>
    </row>
    <row r="209" spans="2:11" x14ac:dyDescent="0.3">
      <c r="C209" t="s">
        <v>180</v>
      </c>
      <c r="E209" s="14">
        <v>224930</v>
      </c>
      <c r="F209" s="163">
        <f>E209*1000</f>
        <v>224930000</v>
      </c>
      <c r="H209" s="30"/>
    </row>
    <row r="210" spans="2:11" x14ac:dyDescent="0.3">
      <c r="C210" t="s">
        <v>181</v>
      </c>
      <c r="E210" s="14">
        <v>1155</v>
      </c>
      <c r="F210" s="163">
        <f>E210*1000</f>
        <v>1155000</v>
      </c>
      <c r="H210" s="30"/>
    </row>
    <row r="211" spans="2:11" s="28" customFormat="1" x14ac:dyDescent="0.3">
      <c r="C211" s="28" t="s">
        <v>182</v>
      </c>
      <c r="E211" s="29">
        <v>15529</v>
      </c>
      <c r="F211" s="163">
        <f>E211*1000</f>
        <v>15529000</v>
      </c>
      <c r="H211" s="30"/>
      <c r="I211" s="54"/>
      <c r="J211" s="54"/>
      <c r="K211" s="47"/>
    </row>
    <row r="212" spans="2:11" s="28" customFormat="1" x14ac:dyDescent="0.3">
      <c r="C212" s="28" t="s">
        <v>183</v>
      </c>
      <c r="E212" s="29">
        <v>9900</v>
      </c>
      <c r="F212" s="163">
        <f>E212*1000</f>
        <v>9900000</v>
      </c>
      <c r="H212" s="30"/>
      <c r="I212" s="54"/>
      <c r="J212" s="54"/>
      <c r="K212" s="47"/>
    </row>
    <row r="213" spans="2:11" x14ac:dyDescent="0.3">
      <c r="C213" t="s">
        <v>184</v>
      </c>
      <c r="E213" s="14">
        <v>1500</v>
      </c>
      <c r="F213" s="163">
        <f>E213*1000</f>
        <v>1500000</v>
      </c>
      <c r="H213" s="30"/>
    </row>
    <row r="214" spans="2:11" x14ac:dyDescent="0.3">
      <c r="F214" s="163"/>
      <c r="H214" s="30"/>
    </row>
    <row r="215" spans="2:11" s="2" customFormat="1" x14ac:dyDescent="0.3">
      <c r="B215" s="2" t="s">
        <v>185</v>
      </c>
      <c r="E215" s="15">
        <v>71806</v>
      </c>
      <c r="F215" s="159"/>
      <c r="G215" s="17">
        <f>E215*1000</f>
        <v>71806000</v>
      </c>
      <c r="H215" s="33">
        <f>SUM(H216:H217)</f>
        <v>0</v>
      </c>
      <c r="I215" s="54"/>
      <c r="J215" s="54"/>
      <c r="K215" s="49"/>
    </row>
    <row r="216" spans="2:11" x14ac:dyDescent="0.3">
      <c r="C216" t="s">
        <v>186</v>
      </c>
      <c r="E216" s="14">
        <v>56446</v>
      </c>
      <c r="F216" s="163">
        <f>E216*1000</f>
        <v>56446000</v>
      </c>
      <c r="H216" s="30"/>
    </row>
    <row r="217" spans="2:11" x14ac:dyDescent="0.3">
      <c r="C217" t="s">
        <v>187</v>
      </c>
      <c r="E217" s="14">
        <v>15360</v>
      </c>
      <c r="F217" s="163">
        <f>E217*1000</f>
        <v>15360000</v>
      </c>
      <c r="H217" s="30"/>
    </row>
    <row r="218" spans="2:11" x14ac:dyDescent="0.3">
      <c r="G218" s="4"/>
      <c r="H218" s="30"/>
    </row>
    <row r="219" spans="2:11" s="2" customFormat="1" x14ac:dyDescent="0.3">
      <c r="B219" s="2" t="s">
        <v>188</v>
      </c>
      <c r="E219" s="15">
        <v>644343</v>
      </c>
      <c r="F219" s="159"/>
      <c r="G219" s="17">
        <f t="shared" si="7"/>
        <v>644343000</v>
      </c>
      <c r="H219" s="33">
        <f>SUM(H220:H222)</f>
        <v>0</v>
      </c>
      <c r="I219" s="54"/>
      <c r="J219" s="54"/>
      <c r="K219" s="49"/>
    </row>
    <row r="220" spans="2:11" x14ac:dyDescent="0.3">
      <c r="C220" t="s">
        <v>189</v>
      </c>
      <c r="E220" s="14">
        <v>0</v>
      </c>
      <c r="F220" s="163">
        <f>E220*1000</f>
        <v>0</v>
      </c>
      <c r="H220" s="30"/>
    </row>
    <row r="221" spans="2:11" s="28" customFormat="1" x14ac:dyDescent="0.3">
      <c r="C221" s="28" t="s">
        <v>190</v>
      </c>
      <c r="E221" s="29">
        <v>504343</v>
      </c>
      <c r="F221" s="163">
        <f>E221*1000</f>
        <v>504343000</v>
      </c>
      <c r="H221" s="30"/>
      <c r="I221" s="54"/>
      <c r="J221" s="54"/>
      <c r="K221" s="47"/>
    </row>
    <row r="222" spans="2:11" s="28" customFormat="1" x14ac:dyDescent="0.3">
      <c r="C222" s="28" t="s">
        <v>191</v>
      </c>
      <c r="E222" s="29">
        <v>140000</v>
      </c>
      <c r="F222" s="163">
        <f>E222*1000</f>
        <v>140000000</v>
      </c>
      <c r="H222" s="30"/>
      <c r="I222" s="54"/>
      <c r="J222" s="54"/>
      <c r="K222" s="47"/>
    </row>
    <row r="223" spans="2:11" x14ac:dyDescent="0.3">
      <c r="G223" s="4"/>
      <c r="H223" s="30"/>
    </row>
    <row r="224" spans="2:11" s="2" customFormat="1" x14ac:dyDescent="0.3">
      <c r="B224" s="2" t="s">
        <v>192</v>
      </c>
      <c r="E224" s="15">
        <v>91050</v>
      </c>
      <c r="F224" s="159"/>
      <c r="G224" s="17">
        <f t="shared" si="7"/>
        <v>91050000</v>
      </c>
      <c r="H224" s="33">
        <f>SUM(H225:H230)</f>
        <v>88305000</v>
      </c>
      <c r="I224" s="54"/>
      <c r="J224" s="54"/>
      <c r="K224" s="49"/>
    </row>
    <row r="225" spans="2:11" s="28" customFormat="1" x14ac:dyDescent="0.3">
      <c r="C225" s="28" t="s">
        <v>193</v>
      </c>
      <c r="E225" s="29">
        <v>1344</v>
      </c>
      <c r="F225" s="163">
        <f t="shared" ref="F225:F230" si="9">E225*1000</f>
        <v>1344000</v>
      </c>
      <c r="H225" s="30">
        <f>F225</f>
        <v>1344000</v>
      </c>
      <c r="I225" s="54"/>
      <c r="J225" s="54"/>
      <c r="K225" s="47"/>
    </row>
    <row r="226" spans="2:11" x14ac:dyDescent="0.3">
      <c r="C226" t="s">
        <v>194</v>
      </c>
      <c r="E226" s="14">
        <v>45</v>
      </c>
      <c r="F226" s="163">
        <f t="shared" si="9"/>
        <v>45000</v>
      </c>
      <c r="H226" s="30"/>
    </row>
    <row r="227" spans="2:11" s="28" customFormat="1" x14ac:dyDescent="0.3">
      <c r="C227" s="28" t="s">
        <v>195</v>
      </c>
      <c r="E227" s="29">
        <v>86961</v>
      </c>
      <c r="F227" s="163">
        <f t="shared" si="9"/>
        <v>86961000</v>
      </c>
      <c r="H227" s="30">
        <f>F227</f>
        <v>86961000</v>
      </c>
      <c r="I227" s="54"/>
      <c r="J227" s="54"/>
      <c r="K227" s="47"/>
    </row>
    <row r="228" spans="2:11" x14ac:dyDescent="0.3">
      <c r="C228" t="s">
        <v>196</v>
      </c>
      <c r="E228" s="14">
        <v>100</v>
      </c>
      <c r="F228" s="163">
        <f t="shared" si="9"/>
        <v>100000</v>
      </c>
      <c r="H228" s="30"/>
    </row>
    <row r="229" spans="2:11" x14ac:dyDescent="0.3">
      <c r="C229" t="s">
        <v>197</v>
      </c>
      <c r="E229" s="14">
        <v>1600</v>
      </c>
      <c r="F229" s="163">
        <f t="shared" si="9"/>
        <v>1600000</v>
      </c>
      <c r="H229" s="30"/>
    </row>
    <row r="230" spans="2:11" x14ac:dyDescent="0.3">
      <c r="C230" t="s">
        <v>198</v>
      </c>
      <c r="E230" s="14">
        <v>1000</v>
      </c>
      <c r="F230" s="163">
        <f t="shared" si="9"/>
        <v>1000000</v>
      </c>
      <c r="H230" s="30"/>
    </row>
    <row r="231" spans="2:11" x14ac:dyDescent="0.3">
      <c r="G231" s="4"/>
      <c r="H231" s="30"/>
    </row>
    <row r="232" spans="2:11" s="39" customFormat="1" ht="18" x14ac:dyDescent="0.35">
      <c r="B232" s="39" t="s">
        <v>199</v>
      </c>
      <c r="E232" s="40">
        <v>925500</v>
      </c>
      <c r="F232" s="156">
        <f>G232/$G$141</f>
        <v>1.681454167347439E-2</v>
      </c>
      <c r="G232" s="41">
        <f t="shared" si="7"/>
        <v>925500000</v>
      </c>
      <c r="H232" s="42">
        <f>H234+H245+H252+H255+H258+H262</f>
        <v>19216000</v>
      </c>
      <c r="I232" s="54"/>
      <c r="J232" s="54"/>
      <c r="K232" s="48"/>
    </row>
    <row r="233" spans="2:11" s="39" customFormat="1" ht="18" x14ac:dyDescent="0.35">
      <c r="E233" s="40"/>
      <c r="F233" s="157"/>
      <c r="G233" s="4">
        <f>G232/Ihmismäärät!$C$14</f>
        <v>168.82524626048888</v>
      </c>
      <c r="H233" s="42"/>
      <c r="I233" s="54"/>
      <c r="J233" s="54"/>
      <c r="K233" s="48"/>
    </row>
    <row r="234" spans="2:11" s="2" customFormat="1" x14ac:dyDescent="0.3">
      <c r="B234" s="2" t="s">
        <v>200</v>
      </c>
      <c r="E234" s="15">
        <v>127076</v>
      </c>
      <c r="F234" s="159"/>
      <c r="G234" s="17">
        <f t="shared" si="7"/>
        <v>127076000</v>
      </c>
      <c r="H234" s="33">
        <f>SUM(H235:H243)</f>
        <v>19216000</v>
      </c>
      <c r="I234" s="54"/>
      <c r="J234" s="54"/>
      <c r="K234" s="49"/>
    </row>
    <row r="235" spans="2:11" x14ac:dyDescent="0.3">
      <c r="C235" t="s">
        <v>201</v>
      </c>
      <c r="E235" s="14">
        <v>21428</v>
      </c>
      <c r="F235" s="163">
        <f t="shared" ref="F235:F243" si="10">E235*1000</f>
        <v>21428000</v>
      </c>
      <c r="H235" s="30"/>
    </row>
    <row r="236" spans="2:11" x14ac:dyDescent="0.3">
      <c r="C236" t="s">
        <v>202</v>
      </c>
      <c r="E236" s="14">
        <v>7408</v>
      </c>
      <c r="F236" s="163">
        <f t="shared" si="10"/>
        <v>7408000</v>
      </c>
      <c r="H236" s="30"/>
    </row>
    <row r="237" spans="2:11" x14ac:dyDescent="0.3">
      <c r="C237" t="s">
        <v>203</v>
      </c>
      <c r="E237" s="14">
        <v>7290</v>
      </c>
      <c r="F237" s="163">
        <f t="shared" si="10"/>
        <v>7290000</v>
      </c>
      <c r="H237" s="30"/>
    </row>
    <row r="238" spans="2:11" s="28" customFormat="1" x14ac:dyDescent="0.3">
      <c r="C238" s="28" t="s">
        <v>204</v>
      </c>
      <c r="E238" s="29">
        <v>13032</v>
      </c>
      <c r="F238" s="163">
        <f t="shared" si="10"/>
        <v>13032000</v>
      </c>
      <c r="H238" s="30">
        <f>F238</f>
        <v>13032000</v>
      </c>
      <c r="I238" s="54"/>
      <c r="J238" s="54"/>
      <c r="K238" s="47"/>
    </row>
    <row r="239" spans="2:11" x14ac:dyDescent="0.3">
      <c r="C239" t="s">
        <v>205</v>
      </c>
      <c r="E239" s="14">
        <v>235</v>
      </c>
      <c r="F239" s="163">
        <f t="shared" si="10"/>
        <v>235000</v>
      </c>
      <c r="H239" s="30"/>
    </row>
    <row r="240" spans="2:11" x14ac:dyDescent="0.3">
      <c r="C240" t="s">
        <v>206</v>
      </c>
      <c r="E240" s="14">
        <v>1935</v>
      </c>
      <c r="F240" s="163">
        <f t="shared" si="10"/>
        <v>1935000</v>
      </c>
      <c r="H240" s="30"/>
    </row>
    <row r="241" spans="2:11" x14ac:dyDescent="0.3">
      <c r="C241" t="s">
        <v>207</v>
      </c>
      <c r="E241" s="14">
        <v>49994</v>
      </c>
      <c r="F241" s="163">
        <f t="shared" si="10"/>
        <v>49994000</v>
      </c>
      <c r="H241" s="30"/>
    </row>
    <row r="242" spans="2:11" s="28" customFormat="1" x14ac:dyDescent="0.3">
      <c r="C242" s="28" t="s">
        <v>208</v>
      </c>
      <c r="E242" s="29">
        <v>6184</v>
      </c>
      <c r="F242" s="163">
        <f t="shared" si="10"/>
        <v>6184000</v>
      </c>
      <c r="H242" s="30">
        <f>F242</f>
        <v>6184000</v>
      </c>
      <c r="I242" s="54"/>
      <c r="J242" s="54"/>
      <c r="K242" s="47"/>
    </row>
    <row r="243" spans="2:11" s="28" customFormat="1" x14ac:dyDescent="0.3">
      <c r="C243" s="28" t="s">
        <v>209</v>
      </c>
      <c r="E243" s="29">
        <v>19570</v>
      </c>
      <c r="F243" s="163">
        <f t="shared" si="10"/>
        <v>19570000</v>
      </c>
      <c r="H243" s="30"/>
      <c r="I243" s="54"/>
      <c r="J243" s="54"/>
      <c r="K243" s="47"/>
    </row>
    <row r="244" spans="2:11" x14ac:dyDescent="0.3">
      <c r="F244" s="163"/>
      <c r="H244" s="30"/>
    </row>
    <row r="245" spans="2:11" s="2" customFormat="1" x14ac:dyDescent="0.3">
      <c r="B245" s="2" t="s">
        <v>210</v>
      </c>
      <c r="E245" s="15">
        <v>422374</v>
      </c>
      <c r="F245" s="160"/>
      <c r="G245" s="17">
        <f>E245*1000</f>
        <v>422374000</v>
      </c>
      <c r="H245" s="33">
        <f>SUM(H246:H250)</f>
        <v>0</v>
      </c>
      <c r="I245" s="54"/>
      <c r="J245" s="54"/>
      <c r="K245" s="49"/>
    </row>
    <row r="246" spans="2:11" x14ac:dyDescent="0.3">
      <c r="C246" t="s">
        <v>211</v>
      </c>
      <c r="E246" s="14">
        <v>8968</v>
      </c>
      <c r="F246" s="163">
        <f>E246*1000</f>
        <v>8968000</v>
      </c>
      <c r="H246" s="30"/>
    </row>
    <row r="247" spans="2:11" x14ac:dyDescent="0.3">
      <c r="C247" t="s">
        <v>212</v>
      </c>
      <c r="E247" s="14">
        <v>15319</v>
      </c>
      <c r="F247" s="163">
        <f>E247*1000</f>
        <v>15319000</v>
      </c>
      <c r="H247" s="30"/>
    </row>
    <row r="248" spans="2:11" x14ac:dyDescent="0.3">
      <c r="C248" t="s">
        <v>213</v>
      </c>
      <c r="E248" s="14">
        <v>261138</v>
      </c>
      <c r="F248" s="163">
        <f>E248*1000</f>
        <v>261138000</v>
      </c>
      <c r="H248" s="30"/>
    </row>
    <row r="249" spans="2:11" x14ac:dyDescent="0.3">
      <c r="C249" t="s">
        <v>214</v>
      </c>
      <c r="E249" s="14">
        <v>61849</v>
      </c>
      <c r="F249" s="163">
        <f>E249*1000</f>
        <v>61849000</v>
      </c>
      <c r="H249" s="30"/>
    </row>
    <row r="250" spans="2:11" s="28" customFormat="1" x14ac:dyDescent="0.3">
      <c r="C250" s="28" t="s">
        <v>215</v>
      </c>
      <c r="E250" s="29">
        <v>75100</v>
      </c>
      <c r="F250" s="163">
        <f>E250*1000</f>
        <v>75100000</v>
      </c>
      <c r="H250" s="30"/>
      <c r="I250" s="54"/>
      <c r="J250" s="54"/>
      <c r="K250" s="47"/>
    </row>
    <row r="251" spans="2:11" x14ac:dyDescent="0.3">
      <c r="F251" s="163"/>
      <c r="H251" s="30"/>
    </row>
    <row r="252" spans="2:11" s="2" customFormat="1" x14ac:dyDescent="0.3">
      <c r="B252" s="2" t="s">
        <v>216</v>
      </c>
      <c r="E252" s="15">
        <v>110100</v>
      </c>
      <c r="F252" s="158"/>
      <c r="G252" s="17">
        <f>E252*1000</f>
        <v>110100000</v>
      </c>
      <c r="H252" s="33">
        <f>SUM(H253)</f>
        <v>0</v>
      </c>
      <c r="I252" s="54"/>
      <c r="J252" s="54"/>
      <c r="K252" s="49"/>
    </row>
    <row r="253" spans="2:11" x14ac:dyDescent="0.3">
      <c r="C253" t="s">
        <v>217</v>
      </c>
      <c r="E253" s="14">
        <v>110100</v>
      </c>
      <c r="F253" s="163">
        <f>E253*1000</f>
        <v>110100000</v>
      </c>
      <c r="H253" s="30"/>
    </row>
    <row r="254" spans="2:11" x14ac:dyDescent="0.3">
      <c r="F254" s="163"/>
      <c r="H254" s="30"/>
    </row>
    <row r="255" spans="2:11" s="2" customFormat="1" x14ac:dyDescent="0.3">
      <c r="B255" s="2" t="s">
        <v>218</v>
      </c>
      <c r="E255" s="15">
        <v>46690</v>
      </c>
      <c r="F255" s="158"/>
      <c r="G255" s="17">
        <f>E255*1000</f>
        <v>46690000</v>
      </c>
      <c r="H255" s="33">
        <f>SUM(H256)</f>
        <v>0</v>
      </c>
      <c r="I255" s="54"/>
      <c r="J255" s="54"/>
      <c r="K255" s="49"/>
    </row>
    <row r="256" spans="2:11" x14ac:dyDescent="0.3">
      <c r="C256" t="s">
        <v>219</v>
      </c>
      <c r="E256" s="14">
        <v>46690</v>
      </c>
      <c r="F256" s="163">
        <f>E256*1000</f>
        <v>46690000</v>
      </c>
      <c r="H256" s="30"/>
    </row>
    <row r="257" spans="2:11" x14ac:dyDescent="0.3">
      <c r="F257" s="163"/>
      <c r="H257" s="30"/>
    </row>
    <row r="258" spans="2:11" s="2" customFormat="1" x14ac:dyDescent="0.3">
      <c r="B258" s="2" t="s">
        <v>220</v>
      </c>
      <c r="E258" s="15">
        <v>216576</v>
      </c>
      <c r="F258" s="160"/>
      <c r="G258" s="17">
        <f>E258*1000</f>
        <v>216576000</v>
      </c>
      <c r="H258" s="33">
        <f>SUM(H259:H260)</f>
        <v>0</v>
      </c>
      <c r="I258" s="54"/>
      <c r="J258" s="54"/>
      <c r="K258" s="49"/>
    </row>
    <row r="259" spans="2:11" x14ac:dyDescent="0.3">
      <c r="C259" t="s">
        <v>221</v>
      </c>
      <c r="E259" s="14">
        <v>211176</v>
      </c>
      <c r="F259" s="163">
        <f>E259*1000</f>
        <v>211176000</v>
      </c>
      <c r="H259" s="30"/>
    </row>
    <row r="260" spans="2:11" x14ac:dyDescent="0.3">
      <c r="C260" t="s">
        <v>222</v>
      </c>
      <c r="E260" s="14">
        <v>5400</v>
      </c>
      <c r="F260" s="163">
        <f>E260*1000</f>
        <v>5400000</v>
      </c>
      <c r="H260" s="30"/>
    </row>
    <row r="261" spans="2:11" x14ac:dyDescent="0.3">
      <c r="F261" s="163"/>
      <c r="H261" s="30"/>
    </row>
    <row r="262" spans="2:11" s="2" customFormat="1" x14ac:dyDescent="0.3">
      <c r="B262" s="2" t="s">
        <v>223</v>
      </c>
      <c r="E262" s="15">
        <v>2684</v>
      </c>
      <c r="F262" s="158"/>
      <c r="G262" s="17">
        <f>E262*1000</f>
        <v>2684000</v>
      </c>
      <c r="H262" s="33">
        <f>SUM(H263)</f>
        <v>0</v>
      </c>
      <c r="I262" s="54"/>
      <c r="J262" s="54"/>
      <c r="K262" s="49"/>
    </row>
    <row r="263" spans="2:11" x14ac:dyDescent="0.3">
      <c r="C263" t="s">
        <v>224</v>
      </c>
      <c r="E263" s="14">
        <v>2684</v>
      </c>
      <c r="F263" s="163">
        <f>E263*1000</f>
        <v>2684000</v>
      </c>
      <c r="H263" s="30"/>
    </row>
    <row r="264" spans="2:11" x14ac:dyDescent="0.3">
      <c r="G264" s="4"/>
      <c r="H264" s="30"/>
    </row>
    <row r="265" spans="2:11" s="39" customFormat="1" ht="18" x14ac:dyDescent="0.35">
      <c r="B265" s="39" t="s">
        <v>225</v>
      </c>
      <c r="E265" s="40">
        <v>1994624</v>
      </c>
      <c r="F265" s="156">
        <f>G265/$G$141</f>
        <v>3.623845312902451E-2</v>
      </c>
      <c r="G265" s="41">
        <f t="shared" ref="G265:G306" si="11">E265*1000</f>
        <v>1994624000</v>
      </c>
      <c r="H265" s="42">
        <f>H267+H277+H283+H287+H293</f>
        <v>0</v>
      </c>
      <c r="I265" s="54"/>
      <c r="J265" s="54"/>
      <c r="K265" s="48"/>
    </row>
    <row r="266" spans="2:11" s="39" customFormat="1" ht="18" x14ac:dyDescent="0.35">
      <c r="E266" s="40"/>
      <c r="F266" s="157"/>
      <c r="G266" s="4">
        <f>G265/Ihmismäärät!$C$14</f>
        <v>363.84968989419917</v>
      </c>
      <c r="H266" s="42"/>
      <c r="I266" s="54"/>
      <c r="J266" s="54"/>
      <c r="K266" s="48"/>
    </row>
    <row r="267" spans="2:11" s="2" customFormat="1" x14ac:dyDescent="0.3">
      <c r="B267" s="2" t="s">
        <v>162</v>
      </c>
      <c r="E267" s="15">
        <v>188527</v>
      </c>
      <c r="F267" s="159"/>
      <c r="G267" s="17">
        <f t="shared" si="11"/>
        <v>188527000</v>
      </c>
      <c r="H267" s="33">
        <f>SUM(H268:H275)</f>
        <v>0</v>
      </c>
      <c r="I267" s="54"/>
      <c r="J267" s="54"/>
      <c r="K267" s="49"/>
    </row>
    <row r="268" spans="2:11" x14ac:dyDescent="0.3">
      <c r="C268" t="s">
        <v>226</v>
      </c>
      <c r="E268" s="14">
        <v>14647</v>
      </c>
      <c r="F268" s="163">
        <f t="shared" ref="F268:F275" si="12">E268*1000</f>
        <v>14647000</v>
      </c>
      <c r="H268" s="30"/>
    </row>
    <row r="269" spans="2:11" x14ac:dyDescent="0.3">
      <c r="C269" t="s">
        <v>227</v>
      </c>
      <c r="E269" s="14">
        <v>22</v>
      </c>
      <c r="F269" s="163">
        <f t="shared" si="12"/>
        <v>22000</v>
      </c>
      <c r="H269" s="30"/>
    </row>
    <row r="270" spans="2:11" x14ac:dyDescent="0.3">
      <c r="C270" t="s">
        <v>228</v>
      </c>
      <c r="E270" s="14">
        <v>8917</v>
      </c>
      <c r="F270" s="163">
        <f t="shared" si="12"/>
        <v>8917000</v>
      </c>
      <c r="H270" s="30"/>
    </row>
    <row r="271" spans="2:11" x14ac:dyDescent="0.3">
      <c r="C271" t="s">
        <v>229</v>
      </c>
      <c r="E271" s="14">
        <v>1439</v>
      </c>
      <c r="F271" s="163">
        <f t="shared" si="12"/>
        <v>1439000</v>
      </c>
      <c r="H271" s="30"/>
    </row>
    <row r="272" spans="2:11" x14ac:dyDescent="0.3">
      <c r="C272" t="s">
        <v>230</v>
      </c>
      <c r="E272" s="14">
        <v>47260</v>
      </c>
      <c r="F272" s="163">
        <f t="shared" si="12"/>
        <v>47260000</v>
      </c>
      <c r="H272" s="30"/>
    </row>
    <row r="273" spans="2:11" x14ac:dyDescent="0.3">
      <c r="C273" t="s">
        <v>231</v>
      </c>
      <c r="E273" s="14">
        <v>115000</v>
      </c>
      <c r="F273" s="163">
        <f t="shared" si="12"/>
        <v>115000000</v>
      </c>
      <c r="H273" s="30"/>
    </row>
    <row r="274" spans="2:11" x14ac:dyDescent="0.3">
      <c r="C274" t="s">
        <v>232</v>
      </c>
      <c r="E274" s="14">
        <v>225</v>
      </c>
      <c r="F274" s="163">
        <f t="shared" si="12"/>
        <v>225000</v>
      </c>
      <c r="H274" s="30"/>
    </row>
    <row r="275" spans="2:11" x14ac:dyDescent="0.3">
      <c r="C275" t="s">
        <v>233</v>
      </c>
      <c r="E275" s="14">
        <v>1017</v>
      </c>
      <c r="F275" s="163">
        <f t="shared" si="12"/>
        <v>1017000</v>
      </c>
      <c r="H275" s="30"/>
    </row>
    <row r="276" spans="2:11" x14ac:dyDescent="0.3">
      <c r="F276" s="163"/>
      <c r="H276" s="30"/>
    </row>
    <row r="277" spans="2:11" s="2" customFormat="1" x14ac:dyDescent="0.3">
      <c r="B277" s="2" t="s">
        <v>234</v>
      </c>
      <c r="E277" s="15">
        <v>780217</v>
      </c>
      <c r="F277" s="159"/>
      <c r="G277" s="17">
        <f t="shared" si="11"/>
        <v>780217000</v>
      </c>
      <c r="H277" s="33">
        <f>SUM(H278:H281)</f>
        <v>0</v>
      </c>
      <c r="I277" s="54"/>
      <c r="J277" s="54"/>
      <c r="K277" s="49"/>
    </row>
    <row r="278" spans="2:11" x14ac:dyDescent="0.3">
      <c r="C278" t="s">
        <v>235</v>
      </c>
      <c r="E278" s="14">
        <v>730286</v>
      </c>
      <c r="F278" s="163">
        <f>E278*1000</f>
        <v>730286000</v>
      </c>
      <c r="H278" s="30"/>
    </row>
    <row r="279" spans="2:11" x14ac:dyDescent="0.3">
      <c r="C279" t="s">
        <v>236</v>
      </c>
      <c r="E279" s="14">
        <v>24009</v>
      </c>
      <c r="F279" s="163">
        <f>E279*1000</f>
        <v>24009000</v>
      </c>
      <c r="H279" s="30"/>
    </row>
    <row r="280" spans="2:11" x14ac:dyDescent="0.3">
      <c r="C280" t="s">
        <v>237</v>
      </c>
      <c r="E280" s="14">
        <v>13000</v>
      </c>
      <c r="F280" s="163">
        <f>E280*1000</f>
        <v>13000000</v>
      </c>
      <c r="H280" s="30"/>
    </row>
    <row r="281" spans="2:11" x14ac:dyDescent="0.3">
      <c r="C281" t="s">
        <v>238</v>
      </c>
      <c r="E281" s="14">
        <v>12922</v>
      </c>
      <c r="F281" s="163">
        <f>E281*1000</f>
        <v>12922000</v>
      </c>
      <c r="H281" s="30"/>
    </row>
    <row r="282" spans="2:11" x14ac:dyDescent="0.3">
      <c r="F282" s="163"/>
      <c r="H282" s="30"/>
    </row>
    <row r="283" spans="2:11" s="2" customFormat="1" x14ac:dyDescent="0.3">
      <c r="B283" s="2" t="s">
        <v>239</v>
      </c>
      <c r="E283" s="15">
        <v>245523</v>
      </c>
      <c r="F283" s="158"/>
      <c r="G283" s="17">
        <f>E283*1000</f>
        <v>245523000</v>
      </c>
      <c r="H283" s="33">
        <f>SUM(H284:H285)</f>
        <v>0</v>
      </c>
      <c r="I283" s="54"/>
      <c r="J283" s="54"/>
      <c r="K283" s="49"/>
    </row>
    <row r="284" spans="2:11" x14ac:dyDescent="0.3">
      <c r="C284" t="s">
        <v>240</v>
      </c>
      <c r="E284" s="14">
        <v>234527</v>
      </c>
      <c r="F284" s="163">
        <f>E284*1000</f>
        <v>234527000</v>
      </c>
      <c r="H284" s="30"/>
    </row>
    <row r="285" spans="2:11" x14ac:dyDescent="0.3">
      <c r="C285" t="s">
        <v>241</v>
      </c>
      <c r="E285" s="14">
        <v>10996</v>
      </c>
      <c r="F285" s="163">
        <f>E285*1000</f>
        <v>10996000</v>
      </c>
      <c r="H285" s="30"/>
    </row>
    <row r="286" spans="2:11" x14ac:dyDescent="0.3">
      <c r="F286" s="163"/>
      <c r="H286" s="30"/>
    </row>
    <row r="287" spans="2:11" s="2" customFormat="1" x14ac:dyDescent="0.3">
      <c r="B287" s="2" t="s">
        <v>242</v>
      </c>
      <c r="E287" s="15">
        <v>75008</v>
      </c>
      <c r="F287" s="158"/>
      <c r="G287" s="17">
        <f>E287*1000</f>
        <v>75008000</v>
      </c>
      <c r="H287" s="33">
        <f>SUM(H288:H291)</f>
        <v>0</v>
      </c>
      <c r="I287" s="54"/>
      <c r="J287" s="54"/>
      <c r="K287" s="49"/>
    </row>
    <row r="288" spans="2:11" x14ac:dyDescent="0.3">
      <c r="C288" t="s">
        <v>243</v>
      </c>
      <c r="E288" s="14">
        <v>12072</v>
      </c>
      <c r="F288" s="163">
        <f>E288*1000</f>
        <v>12072000</v>
      </c>
      <c r="H288" s="30"/>
    </row>
    <row r="289" spans="2:11" x14ac:dyDescent="0.3">
      <c r="C289" t="s">
        <v>244</v>
      </c>
      <c r="E289" s="14">
        <v>52430</v>
      </c>
      <c r="F289" s="163">
        <f>E289*1000</f>
        <v>52430000</v>
      </c>
      <c r="H289" s="30"/>
    </row>
    <row r="290" spans="2:11" x14ac:dyDescent="0.3">
      <c r="C290" t="s">
        <v>204</v>
      </c>
      <c r="E290" s="14">
        <v>2406</v>
      </c>
      <c r="F290" s="163">
        <f>E290*1000</f>
        <v>2406000</v>
      </c>
      <c r="H290" s="30"/>
    </row>
    <row r="291" spans="2:11" x14ac:dyDescent="0.3">
      <c r="C291" t="s">
        <v>245</v>
      </c>
      <c r="E291" s="14">
        <v>8100</v>
      </c>
      <c r="F291" s="163">
        <f>E291*1000</f>
        <v>8100000</v>
      </c>
      <c r="H291" s="30"/>
    </row>
    <row r="292" spans="2:11" x14ac:dyDescent="0.3">
      <c r="F292" s="163"/>
      <c r="H292" s="30"/>
    </row>
    <row r="293" spans="2:11" s="2" customFormat="1" x14ac:dyDescent="0.3">
      <c r="B293" s="2" t="s">
        <v>246</v>
      </c>
      <c r="E293" s="15">
        <v>705349</v>
      </c>
      <c r="F293" s="160"/>
      <c r="G293" s="17">
        <f>E293*1000</f>
        <v>705349000</v>
      </c>
      <c r="H293" s="33">
        <f>SUM(H294:H297)</f>
        <v>0</v>
      </c>
      <c r="I293" s="54"/>
      <c r="J293" s="54"/>
      <c r="K293" s="49"/>
    </row>
    <row r="294" spans="2:11" x14ac:dyDescent="0.3">
      <c r="C294" t="s">
        <v>247</v>
      </c>
      <c r="E294" s="14">
        <v>83786</v>
      </c>
      <c r="F294" s="163">
        <f>E294*1000</f>
        <v>83786000</v>
      </c>
      <c r="H294" s="30"/>
    </row>
    <row r="295" spans="2:11" x14ac:dyDescent="0.3">
      <c r="C295" t="s">
        <v>248</v>
      </c>
      <c r="E295" s="14">
        <v>876</v>
      </c>
      <c r="F295" s="163">
        <f>E295*1000</f>
        <v>876000</v>
      </c>
      <c r="H295" s="30"/>
    </row>
    <row r="296" spans="2:11" x14ac:dyDescent="0.3">
      <c r="C296" t="s">
        <v>249</v>
      </c>
      <c r="E296" s="14">
        <v>530769</v>
      </c>
      <c r="F296" s="163">
        <f>E296*1000</f>
        <v>530769000</v>
      </c>
      <c r="H296" s="30"/>
    </row>
    <row r="297" spans="2:11" x14ac:dyDescent="0.3">
      <c r="C297" t="s">
        <v>250</v>
      </c>
      <c r="E297" s="14">
        <v>89918</v>
      </c>
      <c r="F297" s="163">
        <f>E297*1000</f>
        <v>89918000</v>
      </c>
      <c r="H297" s="30"/>
    </row>
    <row r="298" spans="2:11" x14ac:dyDescent="0.3">
      <c r="G298" s="4"/>
      <c r="H298" s="30"/>
    </row>
    <row r="299" spans="2:11" s="39" customFormat="1" ht="18" x14ac:dyDescent="0.35">
      <c r="B299" s="39" t="s">
        <v>251</v>
      </c>
      <c r="E299" s="40">
        <v>2884597</v>
      </c>
      <c r="F299" s="156">
        <f>G299/$G$141</f>
        <v>5.2407538052597742E-2</v>
      </c>
      <c r="G299" s="41">
        <f t="shared" si="11"/>
        <v>2884597000</v>
      </c>
      <c r="H299" s="42">
        <f>H301+H306+H312</f>
        <v>0</v>
      </c>
      <c r="I299" s="54"/>
      <c r="J299" s="54"/>
      <c r="K299" s="48"/>
    </row>
    <row r="300" spans="2:11" s="39" customFormat="1" ht="18" x14ac:dyDescent="0.35">
      <c r="E300" s="40"/>
      <c r="F300" s="157"/>
      <c r="G300" s="4">
        <f>G299/Ihmismäärät!$C$14</f>
        <v>526.194272163444</v>
      </c>
      <c r="H300" s="42"/>
      <c r="I300" s="54"/>
      <c r="J300" s="54"/>
      <c r="K300" s="48"/>
    </row>
    <row r="301" spans="2:11" s="2" customFormat="1" x14ac:dyDescent="0.3">
      <c r="B301" s="2" t="s">
        <v>252</v>
      </c>
      <c r="E301" s="15">
        <v>385444</v>
      </c>
      <c r="F301" s="159"/>
      <c r="G301" s="17">
        <f t="shared" si="11"/>
        <v>385444000</v>
      </c>
      <c r="H301" s="33">
        <f>SUM(H302:H304)</f>
        <v>0</v>
      </c>
      <c r="I301" s="54"/>
      <c r="J301" s="54"/>
      <c r="K301" s="49"/>
    </row>
    <row r="302" spans="2:11" x14ac:dyDescent="0.3">
      <c r="C302" t="s">
        <v>253</v>
      </c>
      <c r="E302" s="14">
        <v>15200</v>
      </c>
      <c r="F302" s="163">
        <f>E302*1000</f>
        <v>15200000</v>
      </c>
      <c r="H302" s="30"/>
    </row>
    <row r="303" spans="2:11" x14ac:dyDescent="0.3">
      <c r="C303" t="s">
        <v>254</v>
      </c>
      <c r="E303" s="14">
        <v>2875</v>
      </c>
      <c r="F303" s="163">
        <f>E303*1000</f>
        <v>2875000</v>
      </c>
      <c r="H303" s="30"/>
    </row>
    <row r="304" spans="2:11" x14ac:dyDescent="0.3">
      <c r="C304" t="s">
        <v>255</v>
      </c>
      <c r="E304" s="14">
        <v>367369</v>
      </c>
      <c r="F304" s="163">
        <f>E304*1000</f>
        <v>367369000</v>
      </c>
      <c r="H304" s="30"/>
    </row>
    <row r="305" spans="2:11" x14ac:dyDescent="0.3">
      <c r="G305" s="4"/>
      <c r="H305" s="30"/>
    </row>
    <row r="306" spans="2:11" s="2" customFormat="1" x14ac:dyDescent="0.3">
      <c r="B306" s="2" t="s">
        <v>256</v>
      </c>
      <c r="E306" s="15">
        <v>2463356</v>
      </c>
      <c r="F306" s="159"/>
      <c r="G306" s="17">
        <f t="shared" si="11"/>
        <v>2463356000</v>
      </c>
      <c r="H306" s="33">
        <f>SUM(H307:H310)</f>
        <v>0</v>
      </c>
      <c r="I306" s="54"/>
      <c r="J306" s="54"/>
      <c r="K306" s="49"/>
    </row>
    <row r="307" spans="2:11" x14ac:dyDescent="0.3">
      <c r="C307" t="s">
        <v>257</v>
      </c>
      <c r="E307" s="14">
        <v>1899710</v>
      </c>
      <c r="F307" s="163">
        <f>E307*1000</f>
        <v>1899710000</v>
      </c>
      <c r="H307" s="30"/>
    </row>
    <row r="308" spans="2:11" x14ac:dyDescent="0.3">
      <c r="C308" t="s">
        <v>258</v>
      </c>
      <c r="E308" s="14">
        <v>559617</v>
      </c>
      <c r="F308" s="163">
        <f>E308*1000</f>
        <v>559617000</v>
      </c>
      <c r="H308" s="30"/>
    </row>
    <row r="309" spans="2:11" x14ac:dyDescent="0.3">
      <c r="C309" t="s">
        <v>259</v>
      </c>
      <c r="E309" s="14">
        <v>2000</v>
      </c>
      <c r="F309" s="163">
        <f>E309*1000</f>
        <v>2000000</v>
      </c>
      <c r="H309" s="30"/>
    </row>
    <row r="310" spans="2:11" x14ac:dyDescent="0.3">
      <c r="C310" t="s">
        <v>260</v>
      </c>
      <c r="E310" s="14">
        <v>2029</v>
      </c>
      <c r="F310" s="163">
        <f>E310*1000</f>
        <v>2029000</v>
      </c>
      <c r="H310" s="30"/>
    </row>
    <row r="311" spans="2:11" x14ac:dyDescent="0.3">
      <c r="F311" s="163"/>
      <c r="H311" s="30"/>
    </row>
    <row r="312" spans="2:11" s="2" customFormat="1" x14ac:dyDescent="0.3">
      <c r="B312" s="2" t="s">
        <v>261</v>
      </c>
      <c r="E312" s="15">
        <v>35797</v>
      </c>
      <c r="F312" s="160"/>
      <c r="G312" s="17">
        <f>E312*1000</f>
        <v>35797000</v>
      </c>
      <c r="H312" s="33">
        <f>SUM(H313:H314)</f>
        <v>0</v>
      </c>
      <c r="I312" s="54"/>
      <c r="J312" s="54"/>
      <c r="K312" s="49"/>
    </row>
    <row r="313" spans="2:11" x14ac:dyDescent="0.3">
      <c r="C313" t="s">
        <v>262</v>
      </c>
      <c r="E313" s="14">
        <v>35761</v>
      </c>
      <c r="F313" s="163">
        <f>E313*1000</f>
        <v>35761000</v>
      </c>
      <c r="H313" s="30"/>
    </row>
    <row r="314" spans="2:11" x14ac:dyDescent="0.3">
      <c r="C314" t="s">
        <v>198</v>
      </c>
      <c r="E314" s="14">
        <v>36</v>
      </c>
      <c r="F314" s="163">
        <f>E314*1000</f>
        <v>36000</v>
      </c>
      <c r="H314" s="30"/>
    </row>
    <row r="315" spans="2:11" x14ac:dyDescent="0.3">
      <c r="G315" s="4"/>
      <c r="H315" s="30"/>
    </row>
    <row r="316" spans="2:11" s="39" customFormat="1" ht="18" x14ac:dyDescent="0.35">
      <c r="B316" s="39" t="s">
        <v>263</v>
      </c>
      <c r="E316" s="40">
        <v>17397734</v>
      </c>
      <c r="F316" s="156">
        <f>G316/$G$141</f>
        <v>0.31608311546950008</v>
      </c>
      <c r="G316" s="41">
        <f t="shared" ref="G316:G389" si="13">E316*1000</f>
        <v>17397734000</v>
      </c>
      <c r="H316" s="42">
        <f>H318+H324+H331+H342+H347+H352+H360+H366+H374+H379+H386+H389+H398</f>
        <v>255000000</v>
      </c>
      <c r="I316" s="54"/>
      <c r="J316" s="54"/>
      <c r="K316" s="48"/>
    </row>
    <row r="317" spans="2:11" s="39" customFormat="1" ht="18" x14ac:dyDescent="0.35">
      <c r="E317" s="40"/>
      <c r="F317" s="157"/>
      <c r="G317" s="4">
        <f>G316/Ihmismäärät!$C$14</f>
        <v>3173.610726012404</v>
      </c>
      <c r="H317" s="42"/>
      <c r="I317" s="54"/>
      <c r="J317" s="54"/>
      <c r="K317" s="48"/>
    </row>
    <row r="318" spans="2:11" s="2" customFormat="1" x14ac:dyDescent="0.3">
      <c r="B318" s="2" t="s">
        <v>162</v>
      </c>
      <c r="E318" s="15">
        <v>138721</v>
      </c>
      <c r="F318" s="159"/>
      <c r="G318" s="17">
        <f t="shared" si="13"/>
        <v>138721000</v>
      </c>
      <c r="H318" s="33">
        <f>SUM(H319:H322)</f>
        <v>0</v>
      </c>
      <c r="I318" s="54"/>
      <c r="J318" s="54"/>
      <c r="K318" s="49"/>
    </row>
    <row r="319" spans="2:11" x14ac:dyDescent="0.3">
      <c r="C319" t="s">
        <v>264</v>
      </c>
      <c r="E319" s="14">
        <v>30363</v>
      </c>
      <c r="F319" s="163">
        <f>E319*1000</f>
        <v>30363000</v>
      </c>
      <c r="H319" s="30"/>
    </row>
    <row r="320" spans="2:11" x14ac:dyDescent="0.3">
      <c r="C320" t="s">
        <v>265</v>
      </c>
      <c r="E320" s="14">
        <v>1215</v>
      </c>
      <c r="F320" s="163">
        <f>E320*1000</f>
        <v>1215000</v>
      </c>
      <c r="H320" s="30"/>
    </row>
    <row r="321" spans="2:11" x14ac:dyDescent="0.3">
      <c r="C321" t="s">
        <v>266</v>
      </c>
      <c r="E321" s="14">
        <v>117</v>
      </c>
      <c r="F321" s="163">
        <f>E321*1000</f>
        <v>117000</v>
      </c>
      <c r="H321" s="30"/>
    </row>
    <row r="322" spans="2:11" s="28" customFormat="1" x14ac:dyDescent="0.3">
      <c r="C322" s="28" t="s">
        <v>267</v>
      </c>
      <c r="E322" s="29">
        <v>107026</v>
      </c>
      <c r="F322" s="163">
        <f>E322*1000</f>
        <v>107026000</v>
      </c>
      <c r="H322" s="30"/>
      <c r="I322" s="54"/>
      <c r="J322" s="54"/>
      <c r="K322" s="47"/>
    </row>
    <row r="323" spans="2:11" x14ac:dyDescent="0.3">
      <c r="G323" s="4"/>
      <c r="H323" s="30"/>
    </row>
    <row r="324" spans="2:11" s="2" customFormat="1" x14ac:dyDescent="0.3">
      <c r="B324" s="2" t="s">
        <v>268</v>
      </c>
      <c r="E324" s="15">
        <v>662508</v>
      </c>
      <c r="F324" s="159"/>
      <c r="G324" s="17">
        <f t="shared" si="13"/>
        <v>662508000</v>
      </c>
      <c r="H324" s="33">
        <f>SUM(H325:H329)</f>
        <v>0</v>
      </c>
      <c r="I324" s="54"/>
      <c r="J324" s="54"/>
      <c r="K324" s="49"/>
    </row>
    <row r="325" spans="2:11" x14ac:dyDescent="0.3">
      <c r="C325" t="s">
        <v>269</v>
      </c>
      <c r="E325" s="14">
        <v>444657</v>
      </c>
      <c r="F325" s="163">
        <f>E325*1000</f>
        <v>444657000</v>
      </c>
      <c r="H325" s="30"/>
    </row>
    <row r="326" spans="2:11" x14ac:dyDescent="0.3">
      <c r="C326" t="s">
        <v>270</v>
      </c>
      <c r="E326" s="14">
        <v>172251</v>
      </c>
      <c r="F326" s="163">
        <f>E326*1000</f>
        <v>172251000</v>
      </c>
      <c r="H326" s="30"/>
    </row>
    <row r="327" spans="2:11" x14ac:dyDescent="0.3">
      <c r="C327" t="s">
        <v>271</v>
      </c>
      <c r="E327" s="14">
        <v>17900</v>
      </c>
      <c r="F327" s="163">
        <f>E327*1000</f>
        <v>17900000</v>
      </c>
      <c r="H327" s="30"/>
    </row>
    <row r="328" spans="2:11" x14ac:dyDescent="0.3">
      <c r="C328" t="s">
        <v>272</v>
      </c>
      <c r="E328" s="14">
        <v>22700</v>
      </c>
      <c r="F328" s="163">
        <f>E328*1000</f>
        <v>22700000</v>
      </c>
      <c r="H328" s="30"/>
    </row>
    <row r="329" spans="2:11" x14ac:dyDescent="0.3">
      <c r="C329" t="s">
        <v>273</v>
      </c>
      <c r="E329" s="14">
        <v>5000</v>
      </c>
      <c r="F329" s="163">
        <f>E329*1000</f>
        <v>5000000</v>
      </c>
      <c r="H329" s="30"/>
    </row>
    <row r="330" spans="2:11" x14ac:dyDescent="0.3">
      <c r="F330" s="163"/>
      <c r="H330" s="30"/>
    </row>
    <row r="331" spans="2:11" s="2" customFormat="1" x14ac:dyDescent="0.3">
      <c r="B331" s="2" t="s">
        <v>274</v>
      </c>
      <c r="E331" s="15">
        <v>46212</v>
      </c>
      <c r="F331" s="160"/>
      <c r="G331" s="17">
        <f>E331*1000</f>
        <v>46212000</v>
      </c>
      <c r="H331" s="33">
        <f>SUM(H332:H339)</f>
        <v>0</v>
      </c>
      <c r="I331" s="54"/>
      <c r="J331" s="54"/>
      <c r="K331" s="49"/>
    </row>
    <row r="332" spans="2:11" x14ac:dyDescent="0.3">
      <c r="C332" t="s">
        <v>275</v>
      </c>
      <c r="E332" s="14">
        <v>28616</v>
      </c>
      <c r="F332" s="163">
        <f t="shared" ref="F332:F340" si="14">E332*1000</f>
        <v>28616000</v>
      </c>
      <c r="H332" s="30"/>
    </row>
    <row r="333" spans="2:11" x14ac:dyDescent="0.3">
      <c r="C333" t="s">
        <v>276</v>
      </c>
      <c r="E333" s="14">
        <v>1</v>
      </c>
      <c r="F333" s="163">
        <f t="shared" si="14"/>
        <v>1000</v>
      </c>
      <c r="H333" s="30"/>
    </row>
    <row r="334" spans="2:11" x14ac:dyDescent="0.3">
      <c r="C334" t="s">
        <v>277</v>
      </c>
      <c r="E334" s="14">
        <v>2733</v>
      </c>
      <c r="F334" s="163">
        <f t="shared" si="14"/>
        <v>2733000</v>
      </c>
      <c r="H334" s="30"/>
    </row>
    <row r="335" spans="2:11" x14ac:dyDescent="0.3">
      <c r="C335" t="s">
        <v>278</v>
      </c>
      <c r="E335" s="14">
        <v>2000</v>
      </c>
      <c r="F335" s="163">
        <f t="shared" si="14"/>
        <v>2000000</v>
      </c>
      <c r="H335" s="30"/>
    </row>
    <row r="336" spans="2:11" x14ac:dyDescent="0.3">
      <c r="C336" t="s">
        <v>279</v>
      </c>
      <c r="E336" s="14">
        <v>2862</v>
      </c>
      <c r="F336" s="163">
        <f t="shared" si="14"/>
        <v>2862000</v>
      </c>
      <c r="H336" s="30"/>
    </row>
    <row r="337" spans="2:11" x14ac:dyDescent="0.3">
      <c r="C337" t="s">
        <v>280</v>
      </c>
      <c r="E337" s="14">
        <v>3000</v>
      </c>
      <c r="F337" s="163">
        <f t="shared" si="14"/>
        <v>3000000</v>
      </c>
      <c r="H337" s="30"/>
    </row>
    <row r="338" spans="2:11" x14ac:dyDescent="0.3">
      <c r="C338" t="s">
        <v>281</v>
      </c>
      <c r="E338" s="14">
        <v>5000</v>
      </c>
      <c r="F338" s="163">
        <f t="shared" si="14"/>
        <v>5000000</v>
      </c>
      <c r="H338" s="30"/>
    </row>
    <row r="339" spans="2:11" x14ac:dyDescent="0.3">
      <c r="C339" t="s">
        <v>282</v>
      </c>
      <c r="E339" s="14">
        <v>2000</v>
      </c>
      <c r="F339" s="163">
        <f t="shared" si="14"/>
        <v>2000000</v>
      </c>
      <c r="H339" s="30"/>
    </row>
    <row r="340" spans="2:11" x14ac:dyDescent="0.3">
      <c r="C340" t="s">
        <v>283</v>
      </c>
      <c r="E340" s="14">
        <v>0</v>
      </c>
      <c r="F340" s="163">
        <f t="shared" si="14"/>
        <v>0</v>
      </c>
      <c r="H340" s="30"/>
    </row>
    <row r="341" spans="2:11" x14ac:dyDescent="0.3">
      <c r="F341" s="163"/>
      <c r="H341" s="30"/>
    </row>
    <row r="342" spans="2:11" s="2" customFormat="1" x14ac:dyDescent="0.3">
      <c r="B342" s="2" t="s">
        <v>284</v>
      </c>
      <c r="E342" s="15">
        <v>61516</v>
      </c>
      <c r="F342" s="160"/>
      <c r="G342" s="17">
        <f>E342*1000</f>
        <v>61516000</v>
      </c>
      <c r="H342" s="33">
        <f>SUM(H343:H345)</f>
        <v>0</v>
      </c>
      <c r="I342" s="54"/>
      <c r="J342" s="54"/>
      <c r="K342" s="49"/>
    </row>
    <row r="343" spans="2:11" x14ac:dyDescent="0.3">
      <c r="C343" t="s">
        <v>285</v>
      </c>
      <c r="E343" s="14">
        <v>50179</v>
      </c>
      <c r="F343" s="163">
        <f>E343*1000</f>
        <v>50179000</v>
      </c>
      <c r="H343" s="30"/>
    </row>
    <row r="344" spans="2:11" x14ac:dyDescent="0.3">
      <c r="C344" t="s">
        <v>286</v>
      </c>
      <c r="E344" s="14">
        <v>3714</v>
      </c>
      <c r="F344" s="163">
        <f>E344*1000</f>
        <v>3714000</v>
      </c>
      <c r="H344" s="30"/>
    </row>
    <row r="345" spans="2:11" x14ac:dyDescent="0.3">
      <c r="C345" t="s">
        <v>287</v>
      </c>
      <c r="E345" s="14">
        <v>7623</v>
      </c>
      <c r="F345" s="163">
        <f>E345*1000</f>
        <v>7623000</v>
      </c>
      <c r="H345" s="30"/>
    </row>
    <row r="346" spans="2:11" x14ac:dyDescent="0.3">
      <c r="F346" s="163"/>
      <c r="H346" s="30"/>
    </row>
    <row r="347" spans="2:11" s="2" customFormat="1" x14ac:dyDescent="0.3">
      <c r="B347" s="2" t="s">
        <v>288</v>
      </c>
      <c r="E347" s="15">
        <v>87755</v>
      </c>
      <c r="F347" s="160"/>
      <c r="G347" s="17">
        <f>E347*1000</f>
        <v>87755000</v>
      </c>
      <c r="H347" s="33">
        <f>SUM(H348:H350)</f>
        <v>0</v>
      </c>
      <c r="I347" s="54"/>
      <c r="J347" s="54"/>
      <c r="K347" s="49"/>
    </row>
    <row r="348" spans="2:11" x14ac:dyDescent="0.3">
      <c r="C348" t="s">
        <v>289</v>
      </c>
      <c r="E348" s="14">
        <v>56022</v>
      </c>
      <c r="F348" s="163">
        <f>E348*1000</f>
        <v>56022000</v>
      </c>
      <c r="H348" s="30"/>
    </row>
    <row r="349" spans="2:11" x14ac:dyDescent="0.3">
      <c r="C349" t="s">
        <v>290</v>
      </c>
      <c r="E349" s="14">
        <v>31111</v>
      </c>
      <c r="F349" s="163">
        <f>E349*1000</f>
        <v>31111000</v>
      </c>
      <c r="H349" s="30"/>
    </row>
    <row r="350" spans="2:11" x14ac:dyDescent="0.3">
      <c r="C350" t="s">
        <v>291</v>
      </c>
      <c r="E350" s="14">
        <v>622</v>
      </c>
      <c r="F350" s="163">
        <f>E350*1000</f>
        <v>622000</v>
      </c>
      <c r="H350" s="30"/>
    </row>
    <row r="351" spans="2:11" x14ac:dyDescent="0.3">
      <c r="F351" s="163"/>
      <c r="H351" s="30"/>
    </row>
    <row r="352" spans="2:11" s="2" customFormat="1" x14ac:dyDescent="0.3">
      <c r="B352" s="2" t="s">
        <v>292</v>
      </c>
      <c r="E352" s="15">
        <v>4725006</v>
      </c>
      <c r="F352" s="160"/>
      <c r="G352" s="17">
        <f>E352*1000</f>
        <v>4725006000</v>
      </c>
      <c r="H352" s="33">
        <f>SUM(H353:H358)</f>
        <v>0</v>
      </c>
      <c r="I352" s="54"/>
      <c r="J352" s="54"/>
      <c r="K352" s="49"/>
    </row>
    <row r="353" spans="2:11" x14ac:dyDescent="0.3">
      <c r="C353" t="s">
        <v>293</v>
      </c>
      <c r="E353" s="14">
        <v>4471106</v>
      </c>
      <c r="F353" s="163">
        <f t="shared" ref="F353:F358" si="15">E353*1000</f>
        <v>4471106000</v>
      </c>
      <c r="H353" s="30"/>
    </row>
    <row r="354" spans="2:11" x14ac:dyDescent="0.3">
      <c r="C354" t="s">
        <v>294</v>
      </c>
      <c r="E354" s="14">
        <v>2146</v>
      </c>
      <c r="F354" s="163">
        <f t="shared" si="15"/>
        <v>2146000</v>
      </c>
      <c r="H354" s="30"/>
    </row>
    <row r="355" spans="2:11" x14ac:dyDescent="0.3">
      <c r="C355" t="s">
        <v>295</v>
      </c>
      <c r="E355" s="14">
        <v>2651</v>
      </c>
      <c r="F355" s="163">
        <f t="shared" si="15"/>
        <v>2651000</v>
      </c>
      <c r="H355" s="30"/>
    </row>
    <row r="356" spans="2:11" x14ac:dyDescent="0.3">
      <c r="C356" t="s">
        <v>296</v>
      </c>
      <c r="E356" s="14">
        <v>39949</v>
      </c>
      <c r="F356" s="163">
        <f t="shared" si="15"/>
        <v>39949000</v>
      </c>
      <c r="H356" s="30"/>
    </row>
    <row r="357" spans="2:11" x14ac:dyDescent="0.3">
      <c r="C357" t="s">
        <v>297</v>
      </c>
      <c r="E357" s="14">
        <v>186154</v>
      </c>
      <c r="F357" s="163">
        <f t="shared" si="15"/>
        <v>186154000</v>
      </c>
      <c r="H357" s="30"/>
    </row>
    <row r="358" spans="2:11" x14ac:dyDescent="0.3">
      <c r="C358" t="s">
        <v>298</v>
      </c>
      <c r="E358" s="14">
        <v>23000</v>
      </c>
      <c r="F358" s="163">
        <f t="shared" si="15"/>
        <v>23000000</v>
      </c>
      <c r="H358" s="30"/>
    </row>
    <row r="359" spans="2:11" x14ac:dyDescent="0.3">
      <c r="F359" s="163"/>
      <c r="H359" s="30"/>
    </row>
    <row r="360" spans="2:11" s="2" customFormat="1" x14ac:dyDescent="0.3">
      <c r="B360" s="2" t="s">
        <v>299</v>
      </c>
      <c r="E360" s="15">
        <v>16655</v>
      </c>
      <c r="F360" s="158"/>
      <c r="G360" s="17">
        <f>E360*1000</f>
        <v>16655000</v>
      </c>
      <c r="H360" s="33">
        <f>SUM(H361:H364)</f>
        <v>0</v>
      </c>
      <c r="I360" s="54"/>
      <c r="J360" s="54"/>
      <c r="K360" s="49"/>
    </row>
    <row r="361" spans="2:11" x14ac:dyDescent="0.3">
      <c r="C361" t="s">
        <v>300</v>
      </c>
      <c r="E361" s="14">
        <v>25</v>
      </c>
      <c r="F361" s="163">
        <f>E361*1000</f>
        <v>25000</v>
      </c>
      <c r="H361" s="30"/>
    </row>
    <row r="362" spans="2:11" x14ac:dyDescent="0.3">
      <c r="C362" t="s">
        <v>301</v>
      </c>
      <c r="E362" s="14">
        <v>900</v>
      </c>
      <c r="F362" s="163">
        <f>E362*1000</f>
        <v>900000</v>
      </c>
      <c r="H362" s="30"/>
    </row>
    <row r="363" spans="2:11" x14ac:dyDescent="0.3">
      <c r="C363" t="s">
        <v>302</v>
      </c>
      <c r="E363" s="14">
        <v>15500</v>
      </c>
      <c r="F363" s="163">
        <f>E363*1000</f>
        <v>15500000</v>
      </c>
      <c r="H363" s="30"/>
    </row>
    <row r="364" spans="2:11" x14ac:dyDescent="0.3">
      <c r="C364" t="s">
        <v>303</v>
      </c>
      <c r="E364" s="14">
        <v>230</v>
      </c>
      <c r="F364" s="163">
        <f>E364*1000</f>
        <v>230000</v>
      </c>
      <c r="H364" s="30"/>
    </row>
    <row r="365" spans="2:11" x14ac:dyDescent="0.3">
      <c r="F365" s="163"/>
      <c r="H365" s="30"/>
    </row>
    <row r="366" spans="2:11" s="2" customFormat="1" x14ac:dyDescent="0.3">
      <c r="B366" s="2" t="s">
        <v>304</v>
      </c>
      <c r="E366" s="15">
        <v>77389</v>
      </c>
      <c r="F366" s="158"/>
      <c r="G366" s="17">
        <f>E366*1000</f>
        <v>77389000</v>
      </c>
      <c r="H366" s="33">
        <f>SUM(H367:H372)</f>
        <v>0</v>
      </c>
      <c r="I366" s="54"/>
      <c r="J366" s="54"/>
      <c r="K366" s="49"/>
    </row>
    <row r="367" spans="2:11" x14ac:dyDescent="0.3">
      <c r="C367" t="s">
        <v>305</v>
      </c>
      <c r="E367" s="14">
        <v>3800</v>
      </c>
      <c r="F367" s="163">
        <f t="shared" ref="F367:F372" si="16">E367*1000</f>
        <v>3800000</v>
      </c>
      <c r="H367" s="30"/>
    </row>
    <row r="368" spans="2:11" x14ac:dyDescent="0.3">
      <c r="C368" t="s">
        <v>306</v>
      </c>
      <c r="E368" s="14">
        <v>12260</v>
      </c>
      <c r="F368" s="163">
        <f t="shared" si="16"/>
        <v>12260000</v>
      </c>
      <c r="H368" s="30"/>
    </row>
    <row r="369" spans="1:11" x14ac:dyDescent="0.3">
      <c r="C369" t="s">
        <v>307</v>
      </c>
      <c r="E369" s="14">
        <v>27500</v>
      </c>
      <c r="F369" s="163">
        <f t="shared" si="16"/>
        <v>27500000</v>
      </c>
      <c r="H369" s="30"/>
    </row>
    <row r="370" spans="1:11" x14ac:dyDescent="0.3">
      <c r="C370" t="s">
        <v>308</v>
      </c>
      <c r="E370" s="14">
        <v>17799</v>
      </c>
      <c r="F370" s="163">
        <f t="shared" si="16"/>
        <v>17799000</v>
      </c>
      <c r="H370" s="30"/>
    </row>
    <row r="371" spans="1:11" x14ac:dyDescent="0.3">
      <c r="C371" t="s">
        <v>309</v>
      </c>
      <c r="E371" s="14">
        <v>15855</v>
      </c>
      <c r="F371" s="163">
        <f t="shared" si="16"/>
        <v>15855000</v>
      </c>
      <c r="H371" s="30"/>
    </row>
    <row r="372" spans="1:11" x14ac:dyDescent="0.3">
      <c r="C372" t="s">
        <v>310</v>
      </c>
      <c r="E372" s="14">
        <v>175</v>
      </c>
      <c r="F372" s="163">
        <f t="shared" si="16"/>
        <v>175000</v>
      </c>
      <c r="H372" s="30"/>
    </row>
    <row r="373" spans="1:11" x14ac:dyDescent="0.3">
      <c r="F373" s="163"/>
      <c r="H373" s="30"/>
    </row>
    <row r="374" spans="1:11" s="2" customFormat="1" x14ac:dyDescent="0.3">
      <c r="B374" s="2" t="s">
        <v>311</v>
      </c>
      <c r="E374" s="15">
        <v>240387</v>
      </c>
      <c r="F374" s="158"/>
      <c r="G374" s="17">
        <f>E374*1000</f>
        <v>240387000</v>
      </c>
      <c r="H374" s="33">
        <f>SUM(H375:H377)</f>
        <v>0</v>
      </c>
      <c r="I374" s="54"/>
      <c r="J374" s="54"/>
      <c r="K374" s="49"/>
    </row>
    <row r="375" spans="1:11" x14ac:dyDescent="0.3">
      <c r="C375" t="s">
        <v>312</v>
      </c>
      <c r="E375" s="14">
        <v>219677</v>
      </c>
      <c r="F375" s="163">
        <f>E375*1000</f>
        <v>219677000</v>
      </c>
      <c r="H375" s="30"/>
    </row>
    <row r="376" spans="1:11" x14ac:dyDescent="0.3">
      <c r="C376" t="s">
        <v>313</v>
      </c>
      <c r="E376" s="14">
        <v>9600</v>
      </c>
      <c r="F376" s="163">
        <f>E376*1000</f>
        <v>9600000</v>
      </c>
      <c r="H376" s="30"/>
    </row>
    <row r="377" spans="1:11" x14ac:dyDescent="0.3">
      <c r="C377" t="s">
        <v>314</v>
      </c>
      <c r="E377" s="14">
        <v>11110</v>
      </c>
      <c r="F377" s="163">
        <f>E377*1000</f>
        <v>11110000</v>
      </c>
      <c r="H377" s="30"/>
    </row>
    <row r="378" spans="1:11" x14ac:dyDescent="0.3">
      <c r="G378" s="4"/>
      <c r="H378" s="30"/>
    </row>
    <row r="379" spans="1:11" s="2" customFormat="1" x14ac:dyDescent="0.3">
      <c r="B379" s="2" t="s">
        <v>315</v>
      </c>
      <c r="E379" s="15">
        <v>9061545</v>
      </c>
      <c r="F379" s="159"/>
      <c r="G379" s="17">
        <f t="shared" si="13"/>
        <v>9061545000</v>
      </c>
      <c r="H379" s="33">
        <f>SUM(H380:H384)</f>
        <v>0</v>
      </c>
      <c r="I379" s="54"/>
      <c r="J379" s="54"/>
      <c r="K379" s="49"/>
    </row>
    <row r="380" spans="1:11" x14ac:dyDescent="0.3">
      <c r="C380" t="s">
        <v>316</v>
      </c>
      <c r="E380" s="14">
        <v>7000</v>
      </c>
      <c r="F380" s="163">
        <f>E380*1000</f>
        <v>7000000</v>
      </c>
      <c r="H380" s="30"/>
    </row>
    <row r="381" spans="1:11" x14ac:dyDescent="0.3">
      <c r="C381" t="s">
        <v>317</v>
      </c>
      <c r="E381" s="14">
        <v>800</v>
      </c>
      <c r="F381" s="163">
        <f>E381*1000</f>
        <v>800000</v>
      </c>
      <c r="H381" s="30"/>
    </row>
    <row r="382" spans="1:11" s="28" customFormat="1" x14ac:dyDescent="0.3">
      <c r="A382" s="28" t="s">
        <v>684</v>
      </c>
      <c r="C382" s="28" t="s">
        <v>318</v>
      </c>
      <c r="E382" s="29">
        <v>9027651</v>
      </c>
      <c r="F382" s="163">
        <f>E382*1000</f>
        <v>9027651000</v>
      </c>
      <c r="H382" s="30"/>
      <c r="I382" s="54"/>
      <c r="J382" s="54"/>
      <c r="K382" s="47"/>
    </row>
    <row r="383" spans="1:11" x14ac:dyDescent="0.3">
      <c r="C383" t="s">
        <v>319</v>
      </c>
      <c r="E383" s="14">
        <v>25574</v>
      </c>
      <c r="F383" s="163">
        <f>E383*1000</f>
        <v>25574000</v>
      </c>
      <c r="H383" s="30"/>
    </row>
    <row r="384" spans="1:11" x14ac:dyDescent="0.3">
      <c r="C384" t="s">
        <v>320</v>
      </c>
      <c r="E384" s="14">
        <v>520</v>
      </c>
      <c r="F384" s="163">
        <f>E384*1000</f>
        <v>520000</v>
      </c>
      <c r="H384" s="30"/>
    </row>
    <row r="385" spans="2:11" x14ac:dyDescent="0.3">
      <c r="G385" s="4"/>
      <c r="H385" s="30"/>
    </row>
    <row r="386" spans="2:11" s="2" customFormat="1" x14ac:dyDescent="0.3">
      <c r="B386" s="2" t="s">
        <v>321</v>
      </c>
      <c r="E386" s="15">
        <v>255000</v>
      </c>
      <c r="F386" s="159"/>
      <c r="G386" s="17">
        <f t="shared" si="13"/>
        <v>255000000</v>
      </c>
      <c r="H386" s="33">
        <f>SUM(H387)</f>
        <v>255000000</v>
      </c>
      <c r="I386" s="54"/>
      <c r="J386" s="54"/>
      <c r="K386" s="49"/>
    </row>
    <row r="387" spans="2:11" x14ac:dyDescent="0.3">
      <c r="C387" t="s">
        <v>322</v>
      </c>
      <c r="E387" s="14">
        <v>255000</v>
      </c>
      <c r="F387" s="163">
        <f>E387*1000</f>
        <v>255000000</v>
      </c>
      <c r="H387" s="30">
        <f>F387</f>
        <v>255000000</v>
      </c>
    </row>
    <row r="388" spans="2:11" x14ac:dyDescent="0.3">
      <c r="G388" s="4"/>
      <c r="H388" s="30"/>
    </row>
    <row r="389" spans="2:11" s="2" customFormat="1" x14ac:dyDescent="0.3">
      <c r="B389" s="2" t="s">
        <v>323</v>
      </c>
      <c r="E389" s="15">
        <v>1979590</v>
      </c>
      <c r="F389" s="159"/>
      <c r="G389" s="17">
        <f t="shared" si="13"/>
        <v>1979590000</v>
      </c>
      <c r="H389" s="33">
        <f>SUM(H390:H396)</f>
        <v>0</v>
      </c>
      <c r="I389" s="54"/>
      <c r="J389" s="54"/>
      <c r="K389" s="49"/>
    </row>
    <row r="390" spans="2:11" x14ac:dyDescent="0.3">
      <c r="C390" s="19" t="s">
        <v>324</v>
      </c>
      <c r="D390" s="19"/>
      <c r="E390" s="20">
        <v>1900</v>
      </c>
      <c r="F390" s="166">
        <f t="shared" ref="F390:F396" si="17">E390*1000</f>
        <v>1900000</v>
      </c>
      <c r="H390" s="33"/>
    </row>
    <row r="391" spans="2:11" x14ac:dyDescent="0.3">
      <c r="C391" s="19" t="s">
        <v>325</v>
      </c>
      <c r="D391" s="19"/>
      <c r="E391" s="20">
        <v>1500</v>
      </c>
      <c r="F391" s="166">
        <f t="shared" si="17"/>
        <v>1500000</v>
      </c>
      <c r="H391" s="33"/>
    </row>
    <row r="392" spans="2:11" x14ac:dyDescent="0.3">
      <c r="C392" t="s">
        <v>326</v>
      </c>
      <c r="E392" s="14">
        <v>10770</v>
      </c>
      <c r="F392" s="166">
        <f t="shared" si="17"/>
        <v>10770000</v>
      </c>
      <c r="H392" s="33"/>
    </row>
    <row r="393" spans="2:11" x14ac:dyDescent="0.3">
      <c r="C393" t="s">
        <v>327</v>
      </c>
      <c r="E393" s="14">
        <v>170</v>
      </c>
      <c r="F393" s="166">
        <f t="shared" si="17"/>
        <v>170000</v>
      </c>
      <c r="H393" s="33"/>
    </row>
    <row r="394" spans="2:11" x14ac:dyDescent="0.3">
      <c r="C394" s="19" t="s">
        <v>328</v>
      </c>
      <c r="D394" s="19"/>
      <c r="E394" s="20">
        <v>1951000</v>
      </c>
      <c r="F394" s="166">
        <f t="shared" si="17"/>
        <v>1951000000</v>
      </c>
      <c r="H394" s="33"/>
    </row>
    <row r="395" spans="2:11" x14ac:dyDescent="0.3">
      <c r="C395" t="s">
        <v>329</v>
      </c>
      <c r="E395" s="14">
        <v>11000</v>
      </c>
      <c r="F395" s="163">
        <f t="shared" si="17"/>
        <v>11000000</v>
      </c>
      <c r="H395" s="33"/>
    </row>
    <row r="396" spans="2:11" x14ac:dyDescent="0.3">
      <c r="C396" t="s">
        <v>330</v>
      </c>
      <c r="E396" s="14">
        <v>3250</v>
      </c>
      <c r="F396" s="163">
        <f t="shared" si="17"/>
        <v>3250000</v>
      </c>
      <c r="H396" s="30"/>
    </row>
    <row r="397" spans="2:11" x14ac:dyDescent="0.3">
      <c r="G397" s="4"/>
      <c r="H397" s="30"/>
    </row>
    <row r="398" spans="2:11" s="2" customFormat="1" x14ac:dyDescent="0.3">
      <c r="B398" s="2" t="s">
        <v>331</v>
      </c>
      <c r="E398" s="15">
        <v>45450</v>
      </c>
      <c r="F398" s="159"/>
      <c r="G398" s="17">
        <f t="shared" ref="G398:G406" si="18">E398*1000</f>
        <v>45450000</v>
      </c>
      <c r="H398" s="33">
        <f>SUM(H399:H402)</f>
        <v>0</v>
      </c>
      <c r="I398" s="54"/>
      <c r="J398" s="54"/>
      <c r="K398" s="49"/>
    </row>
    <row r="399" spans="2:11" x14ac:dyDescent="0.3">
      <c r="C399" t="s">
        <v>332</v>
      </c>
      <c r="E399" s="14">
        <v>300</v>
      </c>
      <c r="F399" s="163">
        <f>E399*1000</f>
        <v>300000</v>
      </c>
      <c r="H399" s="30"/>
    </row>
    <row r="400" spans="2:11" x14ac:dyDescent="0.3">
      <c r="C400" t="s">
        <v>333</v>
      </c>
      <c r="E400" s="14">
        <v>5000</v>
      </c>
      <c r="F400" s="163">
        <f>E400*1000</f>
        <v>5000000</v>
      </c>
      <c r="H400" s="30"/>
    </row>
    <row r="401" spans="2:11" x14ac:dyDescent="0.3">
      <c r="C401" t="s">
        <v>334</v>
      </c>
      <c r="E401" s="14">
        <v>150</v>
      </c>
      <c r="F401" s="163">
        <f>E401*1000</f>
        <v>150000</v>
      </c>
      <c r="H401" s="30"/>
    </row>
    <row r="402" spans="2:11" x14ac:dyDescent="0.3">
      <c r="C402" t="s">
        <v>335</v>
      </c>
      <c r="E402" s="14">
        <v>40000</v>
      </c>
      <c r="F402" s="163">
        <f>E402*1000</f>
        <v>40000000</v>
      </c>
      <c r="H402" s="30"/>
    </row>
    <row r="403" spans="2:11" x14ac:dyDescent="0.3">
      <c r="G403" s="4"/>
      <c r="H403" s="30"/>
    </row>
    <row r="404" spans="2:11" s="39" customFormat="1" ht="18" x14ac:dyDescent="0.35">
      <c r="B404" s="39" t="s">
        <v>336</v>
      </c>
      <c r="E404" s="40">
        <v>6799619</v>
      </c>
      <c r="F404" s="156">
        <f>G404/$G$141</f>
        <v>0.12353590171717803</v>
      </c>
      <c r="G404" s="41">
        <f t="shared" si="18"/>
        <v>6799619000</v>
      </c>
      <c r="H404" s="42">
        <f>H406+H420+H427+H432+H442+H457+H464+H490+H495</f>
        <v>97773000</v>
      </c>
      <c r="I404" s="54"/>
      <c r="J404" s="54"/>
      <c r="K404" s="48"/>
    </row>
    <row r="405" spans="2:11" s="39" customFormat="1" ht="18" x14ac:dyDescent="0.35">
      <c r="E405" s="40"/>
      <c r="F405" s="157"/>
      <c r="G405" s="4">
        <f>G404/Ihmismäärät!$C$14</f>
        <v>1240.353703028092</v>
      </c>
      <c r="H405" s="42"/>
      <c r="I405" s="54"/>
      <c r="J405" s="54"/>
      <c r="K405" s="48"/>
    </row>
    <row r="406" spans="2:11" s="2" customFormat="1" x14ac:dyDescent="0.3">
      <c r="B406" s="2" t="s">
        <v>337</v>
      </c>
      <c r="E406" s="15">
        <v>222813</v>
      </c>
      <c r="F406" s="159"/>
      <c r="G406" s="17">
        <f t="shared" si="18"/>
        <v>222813000</v>
      </c>
      <c r="H406" s="33">
        <f>SUM(H407:H418)</f>
        <v>13925000</v>
      </c>
      <c r="I406" s="54"/>
      <c r="J406" s="54"/>
      <c r="K406" s="49"/>
    </row>
    <row r="407" spans="2:11" x14ac:dyDescent="0.3">
      <c r="C407" t="s">
        <v>338</v>
      </c>
      <c r="E407" s="14">
        <v>19731</v>
      </c>
      <c r="F407" s="163">
        <f t="shared" ref="F407:F418" si="19">E407*1000</f>
        <v>19731000</v>
      </c>
      <c r="H407" s="30"/>
    </row>
    <row r="408" spans="2:11" x14ac:dyDescent="0.3">
      <c r="C408" t="s">
        <v>339</v>
      </c>
      <c r="E408" s="14">
        <v>21701</v>
      </c>
      <c r="F408" s="163">
        <f t="shared" si="19"/>
        <v>21701000</v>
      </c>
      <c r="H408" s="30"/>
    </row>
    <row r="409" spans="2:11" x14ac:dyDescent="0.3">
      <c r="C409" t="s">
        <v>340</v>
      </c>
      <c r="E409" s="14">
        <v>8230</v>
      </c>
      <c r="F409" s="163">
        <f t="shared" si="19"/>
        <v>8230000</v>
      </c>
      <c r="H409" s="30">
        <f>F409</f>
        <v>8230000</v>
      </c>
    </row>
    <row r="410" spans="2:11" x14ac:dyDescent="0.3">
      <c r="C410" t="s">
        <v>341</v>
      </c>
      <c r="E410" s="14">
        <v>3840</v>
      </c>
      <c r="F410" s="163">
        <f t="shared" si="19"/>
        <v>3840000</v>
      </c>
      <c r="H410" s="30"/>
    </row>
    <row r="411" spans="2:11" x14ac:dyDescent="0.3">
      <c r="C411" t="s">
        <v>342</v>
      </c>
      <c r="E411" s="14">
        <v>3543</v>
      </c>
      <c r="F411" s="163">
        <f t="shared" si="19"/>
        <v>3543000</v>
      </c>
      <c r="H411" s="30"/>
    </row>
    <row r="412" spans="2:11" x14ac:dyDescent="0.3">
      <c r="C412" t="s">
        <v>343</v>
      </c>
      <c r="E412" s="14">
        <v>14263</v>
      </c>
      <c r="F412" s="163">
        <f t="shared" si="19"/>
        <v>14263000</v>
      </c>
      <c r="H412" s="30"/>
    </row>
    <row r="413" spans="2:11" s="28" customFormat="1" x14ac:dyDescent="0.3">
      <c r="C413" s="28" t="s">
        <v>344</v>
      </c>
      <c r="E413" s="29">
        <v>28489</v>
      </c>
      <c r="F413" s="163">
        <f t="shared" si="19"/>
        <v>28489000</v>
      </c>
      <c r="H413" s="30"/>
      <c r="I413" s="54"/>
      <c r="J413" s="54"/>
      <c r="K413" s="47"/>
    </row>
    <row r="414" spans="2:11" s="28" customFormat="1" x14ac:dyDescent="0.3">
      <c r="C414" s="28" t="s">
        <v>232</v>
      </c>
      <c r="E414" s="29">
        <v>1279</v>
      </c>
      <c r="F414" s="163">
        <f t="shared" si="19"/>
        <v>1279000</v>
      </c>
      <c r="H414" s="30">
        <f>F414</f>
        <v>1279000</v>
      </c>
      <c r="I414" s="54"/>
      <c r="J414" s="54"/>
      <c r="K414" s="47"/>
    </row>
    <row r="415" spans="2:11" s="28" customFormat="1" x14ac:dyDescent="0.3">
      <c r="C415" s="28" t="s">
        <v>345</v>
      </c>
      <c r="E415" s="29">
        <v>3321</v>
      </c>
      <c r="F415" s="163">
        <f t="shared" si="19"/>
        <v>3321000</v>
      </c>
      <c r="H415" s="30"/>
      <c r="I415" s="54"/>
      <c r="J415" s="54"/>
      <c r="K415" s="47"/>
    </row>
    <row r="416" spans="2:11" s="28" customFormat="1" x14ac:dyDescent="0.3">
      <c r="C416" s="28" t="s">
        <v>346</v>
      </c>
      <c r="E416" s="29">
        <v>114000</v>
      </c>
      <c r="F416" s="163">
        <f t="shared" si="19"/>
        <v>114000000</v>
      </c>
      <c r="H416" s="30"/>
      <c r="I416" s="54"/>
      <c r="J416" s="54"/>
      <c r="K416" s="47"/>
    </row>
    <row r="417" spans="2:11" x14ac:dyDescent="0.3">
      <c r="C417" t="s">
        <v>347</v>
      </c>
      <c r="E417" s="14">
        <v>2190</v>
      </c>
      <c r="F417" s="163">
        <f t="shared" si="19"/>
        <v>2190000</v>
      </c>
      <c r="H417" s="30">
        <f>F417</f>
        <v>2190000</v>
      </c>
    </row>
    <row r="418" spans="2:11" x14ac:dyDescent="0.3">
      <c r="C418" t="s">
        <v>348</v>
      </c>
      <c r="E418" s="14">
        <v>2226</v>
      </c>
      <c r="F418" s="163">
        <f t="shared" si="19"/>
        <v>2226000</v>
      </c>
      <c r="H418" s="30">
        <f>F418</f>
        <v>2226000</v>
      </c>
    </row>
    <row r="419" spans="2:11" x14ac:dyDescent="0.3">
      <c r="F419" s="163"/>
      <c r="H419" s="30"/>
    </row>
    <row r="420" spans="2:11" s="2" customFormat="1" x14ac:dyDescent="0.3">
      <c r="B420" s="2" t="s">
        <v>349</v>
      </c>
      <c r="E420" s="15">
        <v>788782</v>
      </c>
      <c r="F420" s="160"/>
      <c r="G420" s="17">
        <f>E420*1000</f>
        <v>788782000</v>
      </c>
      <c r="H420" s="33">
        <f>SUM(H421:H425)</f>
        <v>1478000</v>
      </c>
      <c r="I420" s="54"/>
      <c r="J420" s="54"/>
      <c r="K420" s="49"/>
    </row>
    <row r="421" spans="2:11" x14ac:dyDescent="0.3">
      <c r="C421" t="s">
        <v>350</v>
      </c>
      <c r="E421" s="14">
        <v>43082</v>
      </c>
      <c r="F421" s="163">
        <f>E421*1000</f>
        <v>43082000</v>
      </c>
      <c r="H421" s="30"/>
    </row>
    <row r="422" spans="2:11" x14ac:dyDescent="0.3">
      <c r="C422" t="s">
        <v>351</v>
      </c>
      <c r="E422" s="14">
        <v>2330</v>
      </c>
      <c r="F422" s="163">
        <f>E422*1000</f>
        <v>2330000</v>
      </c>
      <c r="H422" s="30"/>
    </row>
    <row r="423" spans="2:11" x14ac:dyDescent="0.3">
      <c r="C423" t="s">
        <v>352</v>
      </c>
      <c r="E423" s="14">
        <v>17672</v>
      </c>
      <c r="F423" s="163">
        <f>E423*1000</f>
        <v>17672000</v>
      </c>
      <c r="H423" s="30"/>
    </row>
    <row r="424" spans="2:11" s="28" customFormat="1" x14ac:dyDescent="0.3">
      <c r="C424" s="28" t="s">
        <v>353</v>
      </c>
      <c r="E424" s="29">
        <v>724220</v>
      </c>
      <c r="F424" s="163">
        <f>E424*1000</f>
        <v>724220000</v>
      </c>
      <c r="H424" s="30"/>
      <c r="I424" s="54"/>
      <c r="J424" s="54"/>
      <c r="K424" s="47"/>
    </row>
    <row r="425" spans="2:11" x14ac:dyDescent="0.3">
      <c r="C425" t="s">
        <v>354</v>
      </c>
      <c r="E425" s="14">
        <v>1478</v>
      </c>
      <c r="F425" s="163">
        <f>E425*1000</f>
        <v>1478000</v>
      </c>
      <c r="H425" s="30">
        <f>F425</f>
        <v>1478000</v>
      </c>
    </row>
    <row r="426" spans="2:11" x14ac:dyDescent="0.3">
      <c r="F426" s="163"/>
      <c r="H426" s="30"/>
    </row>
    <row r="427" spans="2:11" s="2" customFormat="1" x14ac:dyDescent="0.3">
      <c r="B427" s="2" t="s">
        <v>355</v>
      </c>
      <c r="E427" s="15">
        <v>482544</v>
      </c>
      <c r="F427" s="160"/>
      <c r="G427" s="17">
        <f>E427*1000</f>
        <v>482544000</v>
      </c>
      <c r="H427" s="33">
        <f>SUM(H428:H430)</f>
        <v>0</v>
      </c>
      <c r="I427" s="54"/>
      <c r="J427" s="54"/>
      <c r="K427" s="49"/>
    </row>
    <row r="428" spans="2:11" x14ac:dyDescent="0.3">
      <c r="C428" t="s">
        <v>356</v>
      </c>
      <c r="E428" s="14">
        <v>8171</v>
      </c>
      <c r="F428" s="163">
        <f>E428*1000</f>
        <v>8171000</v>
      </c>
      <c r="H428" s="30"/>
    </row>
    <row r="429" spans="2:11" x14ac:dyDescent="0.3">
      <c r="C429" t="s">
        <v>357</v>
      </c>
      <c r="E429" s="14">
        <v>6265</v>
      </c>
      <c r="F429" s="163">
        <f>E429*1000</f>
        <v>6265000</v>
      </c>
      <c r="H429" s="30"/>
    </row>
    <row r="430" spans="2:11" x14ac:dyDescent="0.3">
      <c r="C430" t="s">
        <v>358</v>
      </c>
      <c r="E430" s="14">
        <v>468108</v>
      </c>
      <c r="F430" s="163">
        <f>E430*1000</f>
        <v>468108000</v>
      </c>
      <c r="H430" s="30"/>
    </row>
    <row r="431" spans="2:11" x14ac:dyDescent="0.3">
      <c r="F431" s="163"/>
      <c r="H431" s="30"/>
    </row>
    <row r="432" spans="2:11" s="2" customFormat="1" x14ac:dyDescent="0.3">
      <c r="B432" s="2" t="s">
        <v>359</v>
      </c>
      <c r="E432" s="15">
        <v>485164</v>
      </c>
      <c r="F432" s="160"/>
      <c r="G432" s="17">
        <f>E432*1000</f>
        <v>485164000</v>
      </c>
      <c r="H432" s="33">
        <f>SUM(H433:H440)</f>
        <v>6361000</v>
      </c>
      <c r="I432" s="54"/>
      <c r="J432" s="54"/>
      <c r="K432" s="49"/>
    </row>
    <row r="433" spans="2:11" x14ac:dyDescent="0.3">
      <c r="C433" t="s">
        <v>360</v>
      </c>
      <c r="E433" s="14">
        <v>17527</v>
      </c>
      <c r="F433" s="163">
        <f t="shared" ref="F433:F440" si="20">E433*1000</f>
        <v>17527000</v>
      </c>
      <c r="H433" s="30"/>
    </row>
    <row r="434" spans="2:11" x14ac:dyDescent="0.3">
      <c r="C434" t="s">
        <v>361</v>
      </c>
      <c r="E434" s="14">
        <v>8499</v>
      </c>
      <c r="F434" s="163">
        <f t="shared" si="20"/>
        <v>8499000</v>
      </c>
      <c r="H434" s="30"/>
    </row>
    <row r="435" spans="2:11" x14ac:dyDescent="0.3">
      <c r="C435" t="s">
        <v>362</v>
      </c>
      <c r="E435" s="14">
        <v>157920</v>
      </c>
      <c r="F435" s="163">
        <f t="shared" si="20"/>
        <v>157920000</v>
      </c>
      <c r="H435" s="30"/>
    </row>
    <row r="436" spans="2:11" x14ac:dyDescent="0.3">
      <c r="C436" t="s">
        <v>363</v>
      </c>
      <c r="E436" s="14">
        <v>134805</v>
      </c>
      <c r="F436" s="163">
        <f t="shared" si="20"/>
        <v>134805000</v>
      </c>
      <c r="H436" s="30"/>
    </row>
    <row r="437" spans="2:11" x14ac:dyDescent="0.3">
      <c r="C437" t="s">
        <v>364</v>
      </c>
      <c r="E437" s="14">
        <v>106650</v>
      </c>
      <c r="F437" s="163">
        <f t="shared" si="20"/>
        <v>106650000</v>
      </c>
      <c r="H437" s="30"/>
    </row>
    <row r="438" spans="2:11" x14ac:dyDescent="0.3">
      <c r="C438" t="s">
        <v>365</v>
      </c>
      <c r="E438" s="14">
        <v>37347</v>
      </c>
      <c r="F438" s="163">
        <f t="shared" si="20"/>
        <v>37347000</v>
      </c>
      <c r="H438" s="30"/>
    </row>
    <row r="439" spans="2:11" x14ac:dyDescent="0.3">
      <c r="C439" t="s">
        <v>366</v>
      </c>
      <c r="E439" s="14">
        <v>16055</v>
      </c>
      <c r="F439" s="163">
        <f t="shared" si="20"/>
        <v>16055000</v>
      </c>
      <c r="H439" s="30"/>
    </row>
    <row r="440" spans="2:11" x14ac:dyDescent="0.3">
      <c r="C440" t="s">
        <v>367</v>
      </c>
      <c r="E440" s="14">
        <v>6361</v>
      </c>
      <c r="F440" s="163">
        <f t="shared" si="20"/>
        <v>6361000</v>
      </c>
      <c r="H440" s="30">
        <f>F440</f>
        <v>6361000</v>
      </c>
    </row>
    <row r="441" spans="2:11" x14ac:dyDescent="0.3">
      <c r="F441" s="163"/>
      <c r="H441" s="30"/>
    </row>
    <row r="442" spans="2:11" s="2" customFormat="1" x14ac:dyDescent="0.3">
      <c r="B442" s="2" t="s">
        <v>368</v>
      </c>
      <c r="E442" s="15">
        <v>3198355</v>
      </c>
      <c r="F442" s="159"/>
      <c r="G442" s="17">
        <f>E442*1000</f>
        <v>3198355000</v>
      </c>
      <c r="H442" s="33">
        <f>SUM(H443:H455)</f>
        <v>17781000</v>
      </c>
      <c r="I442" s="54"/>
      <c r="J442" s="54"/>
      <c r="K442" s="49"/>
    </row>
    <row r="443" spans="2:11" x14ac:dyDescent="0.3">
      <c r="C443" t="s">
        <v>369</v>
      </c>
      <c r="E443" s="14">
        <v>12821</v>
      </c>
      <c r="F443" s="163">
        <f t="shared" ref="F443:F455" si="21">E443*1000</f>
        <v>12821000</v>
      </c>
      <c r="H443" s="30"/>
    </row>
    <row r="444" spans="2:11" x14ac:dyDescent="0.3">
      <c r="C444" t="s">
        <v>370</v>
      </c>
      <c r="E444" s="14">
        <v>18045</v>
      </c>
      <c r="F444" s="163">
        <f t="shared" si="21"/>
        <v>18045000</v>
      </c>
      <c r="H444" s="30"/>
    </row>
    <row r="445" spans="2:11" x14ac:dyDescent="0.3">
      <c r="C445" t="s">
        <v>371</v>
      </c>
      <c r="E445" s="14">
        <v>1260</v>
      </c>
      <c r="F445" s="163">
        <f t="shared" si="21"/>
        <v>1260000</v>
      </c>
      <c r="H445" s="30"/>
    </row>
    <row r="446" spans="2:11" x14ac:dyDescent="0.3">
      <c r="C446" t="s">
        <v>372</v>
      </c>
      <c r="E446" s="14">
        <v>1733</v>
      </c>
      <c r="F446" s="163">
        <f t="shared" si="21"/>
        <v>1733000</v>
      </c>
      <c r="H446" s="30"/>
    </row>
    <row r="447" spans="2:11" x14ac:dyDescent="0.3">
      <c r="C447" t="s">
        <v>373</v>
      </c>
      <c r="E447" s="14">
        <v>53960</v>
      </c>
      <c r="F447" s="163">
        <f t="shared" si="21"/>
        <v>53960000</v>
      </c>
      <c r="H447" s="30"/>
    </row>
    <row r="448" spans="2:11" x14ac:dyDescent="0.3">
      <c r="C448" t="s">
        <v>374</v>
      </c>
      <c r="E448" s="14">
        <v>8500</v>
      </c>
      <c r="F448" s="163">
        <f t="shared" si="21"/>
        <v>8500000</v>
      </c>
      <c r="H448" s="30"/>
    </row>
    <row r="449" spans="2:11" x14ac:dyDescent="0.3">
      <c r="C449" t="s">
        <v>375</v>
      </c>
      <c r="E449" s="14">
        <v>1825070</v>
      </c>
      <c r="F449" s="163">
        <f t="shared" si="21"/>
        <v>1825070000</v>
      </c>
      <c r="H449" s="30"/>
    </row>
    <row r="450" spans="2:11" x14ac:dyDescent="0.3">
      <c r="C450" t="s">
        <v>376</v>
      </c>
      <c r="E450" s="14">
        <v>232127</v>
      </c>
      <c r="F450" s="163">
        <f t="shared" si="21"/>
        <v>232127000</v>
      </c>
      <c r="H450" s="30"/>
    </row>
    <row r="451" spans="2:11" x14ac:dyDescent="0.3">
      <c r="C451" t="s">
        <v>377</v>
      </c>
      <c r="E451" s="14">
        <v>31679</v>
      </c>
      <c r="F451" s="163">
        <f t="shared" si="21"/>
        <v>31679000</v>
      </c>
      <c r="H451" s="30"/>
    </row>
    <row r="452" spans="2:11" x14ac:dyDescent="0.3">
      <c r="C452" t="s">
        <v>378</v>
      </c>
      <c r="E452" s="14">
        <v>103359</v>
      </c>
      <c r="F452" s="163">
        <f t="shared" si="21"/>
        <v>103359000</v>
      </c>
      <c r="H452" s="30"/>
    </row>
    <row r="453" spans="2:11" x14ac:dyDescent="0.3">
      <c r="C453" t="s">
        <v>379</v>
      </c>
      <c r="E453" s="14">
        <v>34000</v>
      </c>
      <c r="F453" s="163">
        <f t="shared" si="21"/>
        <v>34000000</v>
      </c>
      <c r="H453" s="30"/>
    </row>
    <row r="454" spans="2:11" x14ac:dyDescent="0.3">
      <c r="C454" t="s">
        <v>380</v>
      </c>
      <c r="E454" s="14">
        <v>858020</v>
      </c>
      <c r="F454" s="163">
        <f t="shared" si="21"/>
        <v>858020000</v>
      </c>
      <c r="H454" s="30"/>
    </row>
    <row r="455" spans="2:11" x14ac:dyDescent="0.3">
      <c r="C455" t="s">
        <v>348</v>
      </c>
      <c r="E455" s="14">
        <v>17781</v>
      </c>
      <c r="F455" s="163">
        <f t="shared" si="21"/>
        <v>17781000</v>
      </c>
      <c r="H455" s="30">
        <f>F455</f>
        <v>17781000</v>
      </c>
    </row>
    <row r="456" spans="2:11" x14ac:dyDescent="0.3">
      <c r="F456" s="163"/>
      <c r="H456" s="30"/>
    </row>
    <row r="457" spans="2:11" s="2" customFormat="1" x14ac:dyDescent="0.3">
      <c r="B457" s="2" t="s">
        <v>381</v>
      </c>
      <c r="E457" s="15">
        <v>932859</v>
      </c>
      <c r="F457" s="160"/>
      <c r="G457" s="17">
        <f>E457*1000</f>
        <v>932859000</v>
      </c>
      <c r="H457" s="33">
        <f>SUM(H458:H462)</f>
        <v>31200000</v>
      </c>
      <c r="I457" s="54"/>
      <c r="J457" s="54"/>
      <c r="K457" s="49"/>
    </row>
    <row r="458" spans="2:11" x14ac:dyDescent="0.3">
      <c r="C458" t="s">
        <v>382</v>
      </c>
      <c r="E458" s="14">
        <v>643</v>
      </c>
      <c r="F458" s="163">
        <f>E458*1000</f>
        <v>643000</v>
      </c>
      <c r="H458" s="30"/>
    </row>
    <row r="459" spans="2:11" x14ac:dyDescent="0.3">
      <c r="C459" t="s">
        <v>383</v>
      </c>
      <c r="E459" s="14">
        <v>31200</v>
      </c>
      <c r="F459" s="163">
        <f>E459*1000</f>
        <v>31200000</v>
      </c>
      <c r="H459" s="30">
        <f>F459</f>
        <v>31200000</v>
      </c>
    </row>
    <row r="460" spans="2:11" s="28" customFormat="1" x14ac:dyDescent="0.3">
      <c r="C460" s="28" t="s">
        <v>384</v>
      </c>
      <c r="E460" s="29">
        <v>816305</v>
      </c>
      <c r="F460" s="163">
        <f>E460*1000</f>
        <v>816305000</v>
      </c>
      <c r="H460" s="30"/>
      <c r="I460" s="54"/>
      <c r="J460" s="54"/>
      <c r="K460" s="47"/>
    </row>
    <row r="461" spans="2:11" x14ac:dyDescent="0.3">
      <c r="C461" t="s">
        <v>385</v>
      </c>
      <c r="E461" s="14">
        <v>31411</v>
      </c>
      <c r="F461" s="163">
        <f>E461*1000</f>
        <v>31411000</v>
      </c>
      <c r="H461" s="30"/>
    </row>
    <row r="462" spans="2:11" x14ac:dyDescent="0.3">
      <c r="C462" t="s">
        <v>386</v>
      </c>
      <c r="E462" s="14">
        <v>53300</v>
      </c>
      <c r="F462" s="163">
        <f>E462*1000</f>
        <v>53300000</v>
      </c>
      <c r="H462" s="30"/>
    </row>
    <row r="463" spans="2:11" x14ac:dyDescent="0.3">
      <c r="F463" s="163"/>
      <c r="H463" s="30"/>
    </row>
    <row r="464" spans="2:11" s="2" customFormat="1" x14ac:dyDescent="0.3">
      <c r="B464" s="2" t="s">
        <v>387</v>
      </c>
      <c r="E464" s="15">
        <v>460183</v>
      </c>
      <c r="F464" s="160"/>
      <c r="G464" s="17">
        <f>E464*1000</f>
        <v>460183000</v>
      </c>
      <c r="H464" s="33">
        <f>SUM(H465:H488)</f>
        <v>27028000</v>
      </c>
      <c r="I464" s="54"/>
      <c r="J464" s="54"/>
      <c r="K464" s="49"/>
    </row>
    <row r="465" spans="3:11" x14ac:dyDescent="0.3">
      <c r="C465" t="s">
        <v>388</v>
      </c>
      <c r="E465" s="14">
        <v>4362</v>
      </c>
      <c r="F465" s="163">
        <f t="shared" ref="F465:F488" si="22">E465*1000</f>
        <v>4362000</v>
      </c>
      <c r="H465" s="30"/>
    </row>
    <row r="466" spans="3:11" x14ac:dyDescent="0.3">
      <c r="C466" t="s">
        <v>389</v>
      </c>
      <c r="E466" s="14">
        <v>2192</v>
      </c>
      <c r="F466" s="163">
        <f t="shared" si="22"/>
        <v>2192000</v>
      </c>
      <c r="H466" s="30"/>
    </row>
    <row r="467" spans="3:11" x14ac:dyDescent="0.3">
      <c r="C467" t="s">
        <v>390</v>
      </c>
      <c r="E467" s="14">
        <v>21731</v>
      </c>
      <c r="F467" s="163">
        <f t="shared" si="22"/>
        <v>21731000</v>
      </c>
      <c r="H467" s="30"/>
    </row>
    <row r="468" spans="3:11" x14ac:dyDescent="0.3">
      <c r="C468" t="s">
        <v>391</v>
      </c>
      <c r="E468" s="14">
        <v>5448</v>
      </c>
      <c r="F468" s="163">
        <f t="shared" si="22"/>
        <v>5448000</v>
      </c>
      <c r="H468" s="30"/>
    </row>
    <row r="469" spans="3:11" x14ac:dyDescent="0.3">
      <c r="C469" t="s">
        <v>392</v>
      </c>
      <c r="E469" s="14">
        <v>6491</v>
      </c>
      <c r="F469" s="163">
        <f t="shared" si="22"/>
        <v>6491000</v>
      </c>
      <c r="H469" s="30"/>
    </row>
    <row r="470" spans="3:11" s="28" customFormat="1" x14ac:dyDescent="0.3">
      <c r="C470" s="28" t="s">
        <v>393</v>
      </c>
      <c r="E470" s="29">
        <v>18848</v>
      </c>
      <c r="F470" s="163">
        <f t="shared" si="22"/>
        <v>18848000</v>
      </c>
      <c r="H470" s="30"/>
      <c r="I470" s="54"/>
      <c r="J470" s="54"/>
      <c r="K470" s="47"/>
    </row>
    <row r="471" spans="3:11" x14ac:dyDescent="0.3">
      <c r="C471" t="s">
        <v>394</v>
      </c>
      <c r="E471" s="14">
        <v>15042</v>
      </c>
      <c r="F471" s="163">
        <f t="shared" si="22"/>
        <v>15042000</v>
      </c>
      <c r="H471" s="30"/>
    </row>
    <row r="472" spans="3:11" x14ac:dyDescent="0.3">
      <c r="C472" t="s">
        <v>395</v>
      </c>
      <c r="E472" s="14">
        <v>3900</v>
      </c>
      <c r="F472" s="163">
        <f t="shared" si="22"/>
        <v>3900000</v>
      </c>
      <c r="H472" s="30"/>
    </row>
    <row r="473" spans="3:11" x14ac:dyDescent="0.3">
      <c r="C473" t="s">
        <v>396</v>
      </c>
      <c r="E473" s="14">
        <v>35819</v>
      </c>
      <c r="F473" s="163">
        <f t="shared" si="22"/>
        <v>35819000</v>
      </c>
      <c r="H473" s="30"/>
    </row>
    <row r="474" spans="3:11" x14ac:dyDescent="0.3">
      <c r="C474" t="s">
        <v>397</v>
      </c>
      <c r="E474" s="14">
        <v>15072</v>
      </c>
      <c r="F474" s="163">
        <f t="shared" si="22"/>
        <v>15072000</v>
      </c>
      <c r="H474" s="30"/>
    </row>
    <row r="475" spans="3:11" x14ac:dyDescent="0.3">
      <c r="C475" t="s">
        <v>398</v>
      </c>
      <c r="E475" s="14">
        <v>8000</v>
      </c>
      <c r="F475" s="163">
        <f t="shared" si="22"/>
        <v>8000000</v>
      </c>
      <c r="H475" s="30">
        <f>F475</f>
        <v>8000000</v>
      </c>
    </row>
    <row r="476" spans="3:11" x14ac:dyDescent="0.3">
      <c r="C476" t="s">
        <v>399</v>
      </c>
      <c r="E476" s="14">
        <v>252</v>
      </c>
      <c r="F476" s="163">
        <f t="shared" si="22"/>
        <v>252000</v>
      </c>
      <c r="H476" s="30"/>
    </row>
    <row r="477" spans="3:11" x14ac:dyDescent="0.3">
      <c r="C477" t="s">
        <v>400</v>
      </c>
      <c r="E477" s="14">
        <v>20313</v>
      </c>
      <c r="F477" s="163">
        <f t="shared" si="22"/>
        <v>20313000</v>
      </c>
      <c r="H477" s="30"/>
    </row>
    <row r="478" spans="3:11" x14ac:dyDescent="0.3">
      <c r="C478" t="s">
        <v>401</v>
      </c>
      <c r="E478" s="14">
        <v>4521</v>
      </c>
      <c r="F478" s="163">
        <f t="shared" si="22"/>
        <v>4521000</v>
      </c>
      <c r="H478" s="30">
        <f>F478</f>
        <v>4521000</v>
      </c>
    </row>
    <row r="479" spans="3:11" x14ac:dyDescent="0.3">
      <c r="C479" t="s">
        <v>402</v>
      </c>
      <c r="E479" s="14">
        <v>14507</v>
      </c>
      <c r="F479" s="163">
        <f t="shared" si="22"/>
        <v>14507000</v>
      </c>
      <c r="H479" s="30">
        <f>F479</f>
        <v>14507000</v>
      </c>
    </row>
    <row r="480" spans="3:11" x14ac:dyDescent="0.3">
      <c r="C480" t="s">
        <v>403</v>
      </c>
      <c r="E480" s="14">
        <v>233322</v>
      </c>
      <c r="F480" s="163">
        <f t="shared" si="22"/>
        <v>233322000</v>
      </c>
      <c r="H480" s="30"/>
    </row>
    <row r="481" spans="2:11" x14ac:dyDescent="0.3">
      <c r="C481" t="s">
        <v>404</v>
      </c>
      <c r="E481" s="14">
        <v>24680</v>
      </c>
      <c r="F481" s="163">
        <f t="shared" si="22"/>
        <v>24680000</v>
      </c>
      <c r="H481" s="30"/>
    </row>
    <row r="482" spans="2:11" x14ac:dyDescent="0.3">
      <c r="C482" t="s">
        <v>405</v>
      </c>
      <c r="E482" s="14">
        <v>5300</v>
      </c>
      <c r="F482" s="163">
        <f t="shared" si="22"/>
        <v>5300000</v>
      </c>
      <c r="H482" s="30"/>
    </row>
    <row r="483" spans="2:11" x14ac:dyDescent="0.3">
      <c r="C483" t="s">
        <v>406</v>
      </c>
      <c r="E483" s="14">
        <v>2200</v>
      </c>
      <c r="F483" s="163">
        <f t="shared" si="22"/>
        <v>2200000</v>
      </c>
      <c r="H483" s="30"/>
    </row>
    <row r="484" spans="2:11" x14ac:dyDescent="0.3">
      <c r="C484" t="s">
        <v>407</v>
      </c>
      <c r="E484" s="14">
        <v>375</v>
      </c>
      <c r="F484" s="163">
        <f t="shared" si="22"/>
        <v>375000</v>
      </c>
      <c r="H484" s="30"/>
    </row>
    <row r="485" spans="2:11" x14ac:dyDescent="0.3">
      <c r="C485" t="s">
        <v>408</v>
      </c>
      <c r="E485" s="14">
        <v>10000</v>
      </c>
      <c r="F485" s="163">
        <f t="shared" si="22"/>
        <v>10000000</v>
      </c>
      <c r="H485" s="30"/>
    </row>
    <row r="486" spans="2:11" x14ac:dyDescent="0.3">
      <c r="C486" t="s">
        <v>409</v>
      </c>
      <c r="E486" s="14">
        <v>739</v>
      </c>
      <c r="F486" s="163">
        <f t="shared" si="22"/>
        <v>739000</v>
      </c>
      <c r="H486" s="30"/>
    </row>
    <row r="487" spans="2:11" x14ac:dyDescent="0.3">
      <c r="C487" t="s">
        <v>410</v>
      </c>
      <c r="E487" s="14">
        <v>7019</v>
      </c>
      <c r="F487" s="163">
        <f t="shared" si="22"/>
        <v>7019000</v>
      </c>
      <c r="H487" s="30"/>
    </row>
    <row r="488" spans="2:11" x14ac:dyDescent="0.3">
      <c r="C488" t="s">
        <v>411</v>
      </c>
      <c r="E488" s="14">
        <v>50</v>
      </c>
      <c r="F488" s="163">
        <f t="shared" si="22"/>
        <v>50000</v>
      </c>
      <c r="H488" s="30"/>
    </row>
    <row r="489" spans="2:11" x14ac:dyDescent="0.3">
      <c r="F489" s="163"/>
      <c r="H489" s="30"/>
    </row>
    <row r="490" spans="2:11" s="2" customFormat="1" x14ac:dyDescent="0.3">
      <c r="B490" s="2" t="s">
        <v>412</v>
      </c>
      <c r="E490" s="15">
        <v>155446</v>
      </c>
      <c r="F490" s="160"/>
      <c r="G490" s="17">
        <f>E490*1000</f>
        <v>155446000</v>
      </c>
      <c r="H490" s="33">
        <f>SUM(H491:H493)</f>
        <v>0</v>
      </c>
      <c r="I490" s="54"/>
      <c r="J490" s="54"/>
      <c r="K490" s="49"/>
    </row>
    <row r="491" spans="2:11" x14ac:dyDescent="0.3">
      <c r="C491" t="s">
        <v>413</v>
      </c>
      <c r="E491" s="14">
        <v>7000</v>
      </c>
      <c r="F491" s="163">
        <f>E491*1000</f>
        <v>7000000</v>
      </c>
      <c r="H491" s="30"/>
    </row>
    <row r="492" spans="2:11" x14ac:dyDescent="0.3">
      <c r="C492" t="s">
        <v>414</v>
      </c>
      <c r="E492" s="14">
        <v>147622</v>
      </c>
      <c r="F492" s="163">
        <f>E492*1000</f>
        <v>147622000</v>
      </c>
      <c r="H492" s="30"/>
    </row>
    <row r="493" spans="2:11" x14ac:dyDescent="0.3">
      <c r="C493" t="s">
        <v>415</v>
      </c>
      <c r="E493" s="14">
        <v>824</v>
      </c>
      <c r="F493" s="163">
        <f>E493*1000</f>
        <v>824000</v>
      </c>
      <c r="H493" s="30"/>
    </row>
    <row r="494" spans="2:11" x14ac:dyDescent="0.3">
      <c r="F494" s="163"/>
      <c r="H494" s="30"/>
    </row>
    <row r="495" spans="2:11" s="2" customFormat="1" x14ac:dyDescent="0.3">
      <c r="B495" s="2" t="s">
        <v>416</v>
      </c>
      <c r="E495" s="15">
        <v>73473</v>
      </c>
      <c r="F495" s="160"/>
      <c r="G495" s="17">
        <f>E495*1000</f>
        <v>73473000</v>
      </c>
      <c r="H495" s="33">
        <f>SUM(H496:H498)</f>
        <v>0</v>
      </c>
      <c r="I495" s="54"/>
      <c r="J495" s="54"/>
      <c r="K495" s="49"/>
    </row>
    <row r="496" spans="2:11" x14ac:dyDescent="0.3">
      <c r="C496" t="s">
        <v>417</v>
      </c>
      <c r="E496" s="14">
        <v>53100</v>
      </c>
      <c r="F496" s="163">
        <f>E496*1000</f>
        <v>53100000</v>
      </c>
      <c r="H496" s="30"/>
    </row>
    <row r="497" spans="2:11" x14ac:dyDescent="0.3">
      <c r="C497" t="s">
        <v>418</v>
      </c>
      <c r="E497" s="14">
        <v>19673</v>
      </c>
      <c r="F497" s="163">
        <f>E497*1000</f>
        <v>19673000</v>
      </c>
      <c r="H497" s="30"/>
    </row>
    <row r="498" spans="2:11" x14ac:dyDescent="0.3">
      <c r="C498" t="s">
        <v>419</v>
      </c>
      <c r="E498" s="14">
        <v>700</v>
      </c>
      <c r="F498" s="163">
        <f>E498*1000</f>
        <v>700000</v>
      </c>
      <c r="H498" s="30"/>
    </row>
    <row r="499" spans="2:11" x14ac:dyDescent="0.3">
      <c r="G499" s="4"/>
      <c r="H499" s="30"/>
    </row>
    <row r="500" spans="2:11" s="39" customFormat="1" ht="18" x14ac:dyDescent="0.35">
      <c r="B500" s="39" t="s">
        <v>420</v>
      </c>
      <c r="E500" s="40">
        <v>2572835</v>
      </c>
      <c r="F500" s="156">
        <f>G500/$G$141</f>
        <v>4.6743426608831427E-2</v>
      </c>
      <c r="G500" s="41">
        <f t="shared" ref="G500:G523" si="23">E500*1000</f>
        <v>2572835000</v>
      </c>
      <c r="H500" s="42">
        <f>H502+H510+H523+H538+H555+H560</f>
        <v>105563000</v>
      </c>
      <c r="I500" s="54"/>
      <c r="J500" s="54"/>
      <c r="K500" s="48"/>
    </row>
    <row r="501" spans="2:11" x14ac:dyDescent="0.3">
      <c r="G501" s="4">
        <f>G500/Ihmismäärät!$C$14</f>
        <v>469.3241517694272</v>
      </c>
      <c r="H501" s="30"/>
      <c r="K501" s="50"/>
    </row>
    <row r="502" spans="2:11" s="2" customFormat="1" x14ac:dyDescent="0.3">
      <c r="B502" s="2" t="s">
        <v>421</v>
      </c>
      <c r="E502" s="15">
        <v>135614</v>
      </c>
      <c r="F502" s="159"/>
      <c r="G502" s="17">
        <f t="shared" si="23"/>
        <v>135614000</v>
      </c>
      <c r="H502" s="33">
        <f>SUM(H503:H508)</f>
        <v>3756000</v>
      </c>
      <c r="I502" s="54"/>
      <c r="J502" s="54"/>
      <c r="K502" s="51"/>
    </row>
    <row r="503" spans="2:11" x14ac:dyDescent="0.3">
      <c r="C503" t="s">
        <v>422</v>
      </c>
      <c r="E503" s="14">
        <v>24645</v>
      </c>
      <c r="F503" s="163">
        <f t="shared" ref="F503:F508" si="24">E503*1000</f>
        <v>24645000</v>
      </c>
    </row>
    <row r="504" spans="2:11" x14ac:dyDescent="0.3">
      <c r="C504" t="s">
        <v>423</v>
      </c>
      <c r="E504" s="14">
        <v>78632</v>
      </c>
      <c r="F504" s="163">
        <f t="shared" si="24"/>
        <v>78632000</v>
      </c>
    </row>
    <row r="505" spans="2:11" x14ac:dyDescent="0.3">
      <c r="C505" t="s">
        <v>424</v>
      </c>
      <c r="E505" s="14">
        <v>0</v>
      </c>
      <c r="F505" s="163">
        <f t="shared" si="24"/>
        <v>0</v>
      </c>
    </row>
    <row r="506" spans="2:11" x14ac:dyDescent="0.3">
      <c r="C506" t="s">
        <v>425</v>
      </c>
      <c r="E506" s="14">
        <v>1343</v>
      </c>
      <c r="F506" s="163">
        <f t="shared" si="24"/>
        <v>1343000</v>
      </c>
    </row>
    <row r="507" spans="2:11" s="28" customFormat="1" x14ac:dyDescent="0.3">
      <c r="C507" s="28" t="s">
        <v>426</v>
      </c>
      <c r="E507" s="29">
        <v>27238</v>
      </c>
      <c r="F507" s="163">
        <f t="shared" si="24"/>
        <v>27238000</v>
      </c>
      <c r="I507" s="54"/>
      <c r="J507" s="54"/>
      <c r="K507" s="47"/>
    </row>
    <row r="508" spans="2:11" x14ac:dyDescent="0.3">
      <c r="C508" t="s">
        <v>195</v>
      </c>
      <c r="E508" s="14">
        <v>3756</v>
      </c>
      <c r="F508" s="163">
        <f t="shared" si="24"/>
        <v>3756000</v>
      </c>
      <c r="H508" s="30">
        <f>F508</f>
        <v>3756000</v>
      </c>
    </row>
    <row r="509" spans="2:11" x14ac:dyDescent="0.3">
      <c r="G509" s="4"/>
      <c r="H509" s="30"/>
    </row>
    <row r="510" spans="2:11" s="2" customFormat="1" x14ac:dyDescent="0.3">
      <c r="B510" s="2" t="s">
        <v>427</v>
      </c>
      <c r="E510" s="15">
        <v>309704</v>
      </c>
      <c r="F510" s="159"/>
      <c r="G510" s="17">
        <f t="shared" si="23"/>
        <v>309704000</v>
      </c>
      <c r="H510" s="33">
        <f>SUM(H511:H521)</f>
        <v>69290000</v>
      </c>
      <c r="I510" s="54"/>
      <c r="J510" s="54"/>
      <c r="K510" s="51"/>
    </row>
    <row r="511" spans="2:11" x14ac:dyDescent="0.3">
      <c r="C511" t="s">
        <v>428</v>
      </c>
      <c r="E511" s="14">
        <v>54800</v>
      </c>
      <c r="F511" s="163">
        <f t="shared" ref="F511:F521" si="25">E511*1000</f>
        <v>54800000</v>
      </c>
    </row>
    <row r="512" spans="2:11" x14ac:dyDescent="0.3">
      <c r="C512" t="s">
        <v>429</v>
      </c>
      <c r="E512" s="14">
        <v>17000</v>
      </c>
      <c r="F512" s="163">
        <f t="shared" si="25"/>
        <v>17000000</v>
      </c>
    </row>
    <row r="513" spans="2:11" x14ac:dyDescent="0.3">
      <c r="C513" t="s">
        <v>430</v>
      </c>
      <c r="E513" s="14">
        <v>72630</v>
      </c>
      <c r="F513" s="163">
        <f t="shared" si="25"/>
        <v>72630000</v>
      </c>
    </row>
    <row r="514" spans="2:11" x14ac:dyDescent="0.3">
      <c r="C514" t="s">
        <v>431</v>
      </c>
      <c r="E514" s="14">
        <v>67767</v>
      </c>
      <c r="F514" s="163">
        <f t="shared" si="25"/>
        <v>67767000</v>
      </c>
      <c r="H514" s="30">
        <f>F514</f>
        <v>67767000</v>
      </c>
    </row>
    <row r="515" spans="2:11" x14ac:dyDescent="0.3">
      <c r="C515" t="s">
        <v>432</v>
      </c>
      <c r="E515" s="14">
        <v>35000</v>
      </c>
      <c r="F515" s="163">
        <f t="shared" si="25"/>
        <v>35000000</v>
      </c>
    </row>
    <row r="516" spans="2:11" x14ac:dyDescent="0.3">
      <c r="C516" t="s">
        <v>433</v>
      </c>
      <c r="E516" s="14">
        <v>5873</v>
      </c>
      <c r="F516" s="163">
        <f t="shared" si="25"/>
        <v>5873000</v>
      </c>
    </row>
    <row r="517" spans="2:11" x14ac:dyDescent="0.3">
      <c r="C517" t="s">
        <v>434</v>
      </c>
      <c r="E517" s="14">
        <v>1696</v>
      </c>
      <c r="F517" s="163">
        <f t="shared" si="25"/>
        <v>1696000</v>
      </c>
    </row>
    <row r="518" spans="2:11" x14ac:dyDescent="0.3">
      <c r="C518" t="s">
        <v>435</v>
      </c>
      <c r="E518" s="14">
        <v>872</v>
      </c>
      <c r="F518" s="163">
        <f t="shared" si="25"/>
        <v>872000</v>
      </c>
    </row>
    <row r="519" spans="2:11" x14ac:dyDescent="0.3">
      <c r="C519" t="s">
        <v>436</v>
      </c>
      <c r="E519" s="14">
        <v>3913</v>
      </c>
      <c r="F519" s="163">
        <f t="shared" si="25"/>
        <v>3913000</v>
      </c>
    </row>
    <row r="520" spans="2:11" x14ac:dyDescent="0.3">
      <c r="C520" t="s">
        <v>437</v>
      </c>
      <c r="E520" s="14">
        <v>1523</v>
      </c>
      <c r="F520" s="163">
        <f t="shared" si="25"/>
        <v>1523000</v>
      </c>
      <c r="H520" s="30">
        <f>F520</f>
        <v>1523000</v>
      </c>
    </row>
    <row r="521" spans="2:11" x14ac:dyDescent="0.3">
      <c r="C521" s="19" t="s">
        <v>438</v>
      </c>
      <c r="D521" s="19"/>
      <c r="E521" s="20">
        <v>48630</v>
      </c>
      <c r="F521" s="166">
        <f t="shared" si="25"/>
        <v>48630000</v>
      </c>
    </row>
    <row r="522" spans="2:11" x14ac:dyDescent="0.3">
      <c r="C522" s="23"/>
      <c r="D522" s="23"/>
      <c r="E522" s="24"/>
      <c r="F522" s="167"/>
      <c r="G522" s="25"/>
      <c r="H522" s="34"/>
    </row>
    <row r="523" spans="2:11" s="2" customFormat="1" x14ac:dyDescent="0.3">
      <c r="B523" s="2" t="s">
        <v>439</v>
      </c>
      <c r="E523" s="15">
        <v>1867907</v>
      </c>
      <c r="F523" s="159"/>
      <c r="G523" s="17">
        <f t="shared" si="23"/>
        <v>1867907000</v>
      </c>
      <c r="H523" s="33">
        <f>SUM(H524:H536)</f>
        <v>21117000</v>
      </c>
      <c r="I523" s="54"/>
      <c r="J523" s="54"/>
      <c r="K523" s="51"/>
    </row>
    <row r="524" spans="2:11" x14ac:dyDescent="0.3">
      <c r="C524" t="s">
        <v>440</v>
      </c>
      <c r="E524" s="14">
        <v>41927</v>
      </c>
      <c r="F524" s="163">
        <f t="shared" ref="F524:F536" si="26">E524*1000</f>
        <v>41927000</v>
      </c>
    </row>
    <row r="525" spans="2:11" x14ac:dyDescent="0.3">
      <c r="C525" t="s">
        <v>441</v>
      </c>
      <c r="E525" s="14">
        <v>26250</v>
      </c>
      <c r="F525" s="163">
        <f t="shared" si="26"/>
        <v>26250000</v>
      </c>
    </row>
    <row r="526" spans="2:11" x14ac:dyDescent="0.3">
      <c r="C526" t="s">
        <v>442</v>
      </c>
      <c r="E526" s="14">
        <v>6028</v>
      </c>
      <c r="F526" s="163">
        <f t="shared" si="26"/>
        <v>6028000</v>
      </c>
    </row>
    <row r="527" spans="2:11" s="28" customFormat="1" x14ac:dyDescent="0.3">
      <c r="C527" s="28" t="s">
        <v>443</v>
      </c>
      <c r="E527" s="29">
        <v>321700</v>
      </c>
      <c r="F527" s="163">
        <f t="shared" si="26"/>
        <v>321700000</v>
      </c>
      <c r="I527" s="54"/>
      <c r="J527" s="54"/>
      <c r="K527" s="47"/>
    </row>
    <row r="528" spans="2:11" x14ac:dyDescent="0.3">
      <c r="C528" s="19" t="s">
        <v>444</v>
      </c>
      <c r="D528" s="19"/>
      <c r="E528" s="20">
        <v>597000</v>
      </c>
      <c r="F528" s="166">
        <f t="shared" si="26"/>
        <v>597000000</v>
      </c>
    </row>
    <row r="529" spans="2:12" x14ac:dyDescent="0.3">
      <c r="C529" t="s">
        <v>445</v>
      </c>
      <c r="E529" s="14">
        <v>4500</v>
      </c>
      <c r="F529" s="163">
        <f t="shared" si="26"/>
        <v>4500000</v>
      </c>
      <c r="H529" s="30">
        <f>F529</f>
        <v>4500000</v>
      </c>
    </row>
    <row r="530" spans="2:12" x14ac:dyDescent="0.3">
      <c r="C530" t="s">
        <v>446</v>
      </c>
      <c r="E530" s="14">
        <v>300043</v>
      </c>
      <c r="F530" s="163">
        <f t="shared" si="26"/>
        <v>300043000</v>
      </c>
    </row>
    <row r="531" spans="2:12" s="28" customFormat="1" x14ac:dyDescent="0.3">
      <c r="C531" s="28" t="s">
        <v>447</v>
      </c>
      <c r="E531" s="29">
        <v>546888</v>
      </c>
      <c r="F531" s="163">
        <f t="shared" si="26"/>
        <v>546888000</v>
      </c>
      <c r="I531" s="54"/>
      <c r="J531" s="54"/>
      <c r="K531" s="47"/>
    </row>
    <row r="532" spans="2:12" x14ac:dyDescent="0.3">
      <c r="C532" s="19" t="s">
        <v>448</v>
      </c>
      <c r="D532" s="19"/>
      <c r="E532" s="20">
        <v>4305</v>
      </c>
      <c r="F532" s="166">
        <f t="shared" si="26"/>
        <v>4305000</v>
      </c>
      <c r="K532" s="50"/>
    </row>
    <row r="533" spans="2:12" x14ac:dyDescent="0.3">
      <c r="C533" t="s">
        <v>449</v>
      </c>
      <c r="E533" s="14">
        <v>2299</v>
      </c>
      <c r="F533" s="163">
        <f t="shared" si="26"/>
        <v>2299000</v>
      </c>
      <c r="L533" s="4"/>
    </row>
    <row r="534" spans="2:12" x14ac:dyDescent="0.3">
      <c r="C534" t="s">
        <v>450</v>
      </c>
      <c r="E534" s="14">
        <v>350</v>
      </c>
      <c r="F534" s="163">
        <f t="shared" si="26"/>
        <v>350000</v>
      </c>
    </row>
    <row r="535" spans="2:12" x14ac:dyDescent="0.3">
      <c r="C535" t="s">
        <v>451</v>
      </c>
      <c r="E535" s="14">
        <v>11000</v>
      </c>
      <c r="F535" s="163">
        <f t="shared" si="26"/>
        <v>11000000</v>
      </c>
      <c r="H535" s="30">
        <f>F535</f>
        <v>11000000</v>
      </c>
    </row>
    <row r="536" spans="2:12" x14ac:dyDescent="0.3">
      <c r="C536" t="s">
        <v>452</v>
      </c>
      <c r="E536" s="14">
        <v>5617</v>
      </c>
      <c r="F536" s="163">
        <f t="shared" si="26"/>
        <v>5617000</v>
      </c>
      <c r="H536" s="30">
        <f>F536</f>
        <v>5617000</v>
      </c>
    </row>
    <row r="537" spans="2:12" x14ac:dyDescent="0.3">
      <c r="G537" s="4"/>
      <c r="H537" s="30"/>
    </row>
    <row r="538" spans="2:12" s="2" customFormat="1" x14ac:dyDescent="0.3">
      <c r="B538" s="2" t="s">
        <v>453</v>
      </c>
      <c r="E538" s="15">
        <v>201427</v>
      </c>
      <c r="F538" s="159"/>
      <c r="G538" s="17">
        <f t="shared" ref="G538:G603" si="27">E538*1000</f>
        <v>201427000</v>
      </c>
      <c r="H538" s="33">
        <f>SUM(H539:H553)</f>
        <v>11400000</v>
      </c>
      <c r="I538" s="54"/>
      <c r="J538" s="54"/>
      <c r="K538" s="51"/>
    </row>
    <row r="539" spans="2:12" x14ac:dyDescent="0.3">
      <c r="C539" t="s">
        <v>454</v>
      </c>
      <c r="E539" s="14">
        <v>3000</v>
      </c>
      <c r="F539" s="163">
        <f t="shared" ref="F539:F553" si="28">E539*1000</f>
        <v>3000000</v>
      </c>
    </row>
    <row r="540" spans="2:12" x14ac:dyDescent="0.3">
      <c r="C540" t="s">
        <v>455</v>
      </c>
      <c r="E540" s="14">
        <v>13519</v>
      </c>
      <c r="F540" s="163">
        <f t="shared" si="28"/>
        <v>13519000</v>
      </c>
    </row>
    <row r="541" spans="2:12" x14ac:dyDescent="0.3">
      <c r="C541" t="s">
        <v>456</v>
      </c>
      <c r="E541" s="14">
        <v>14780</v>
      </c>
      <c r="F541" s="163">
        <f t="shared" si="28"/>
        <v>14780000</v>
      </c>
    </row>
    <row r="542" spans="2:12" x14ac:dyDescent="0.3">
      <c r="C542" t="s">
        <v>457</v>
      </c>
      <c r="E542" s="14">
        <v>7136</v>
      </c>
      <c r="F542" s="163">
        <f t="shared" si="28"/>
        <v>7136000</v>
      </c>
    </row>
    <row r="543" spans="2:12" x14ac:dyDescent="0.3">
      <c r="C543" t="s">
        <v>458</v>
      </c>
      <c r="E543" s="14">
        <v>1245</v>
      </c>
      <c r="F543" s="163">
        <f t="shared" si="28"/>
        <v>1245000</v>
      </c>
    </row>
    <row r="544" spans="2:12" x14ac:dyDescent="0.3">
      <c r="C544" t="s">
        <v>459</v>
      </c>
      <c r="E544" s="14">
        <v>3400</v>
      </c>
      <c r="F544" s="163">
        <f t="shared" si="28"/>
        <v>3400000</v>
      </c>
      <c r="H544" s="30">
        <f>F544</f>
        <v>3400000</v>
      </c>
    </row>
    <row r="545" spans="2:11" x14ac:dyDescent="0.3">
      <c r="C545" t="s">
        <v>460</v>
      </c>
      <c r="E545" s="14">
        <v>8000</v>
      </c>
      <c r="F545" s="163">
        <f t="shared" si="28"/>
        <v>8000000</v>
      </c>
      <c r="H545" s="30">
        <f>F545</f>
        <v>8000000</v>
      </c>
    </row>
    <row r="546" spans="2:11" x14ac:dyDescent="0.3">
      <c r="C546" t="s">
        <v>461</v>
      </c>
      <c r="E546" s="14">
        <v>63674</v>
      </c>
      <c r="F546" s="163">
        <f t="shared" si="28"/>
        <v>63674000</v>
      </c>
    </row>
    <row r="547" spans="2:11" x14ac:dyDescent="0.3">
      <c r="C547" t="s">
        <v>462</v>
      </c>
      <c r="E547" s="14">
        <v>3027</v>
      </c>
      <c r="F547" s="163">
        <f t="shared" si="28"/>
        <v>3027000</v>
      </c>
    </row>
    <row r="548" spans="2:11" x14ac:dyDescent="0.3">
      <c r="C548" t="s">
        <v>463</v>
      </c>
      <c r="E548" s="14">
        <v>40800</v>
      </c>
      <c r="F548" s="163">
        <f t="shared" si="28"/>
        <v>40800000</v>
      </c>
    </row>
    <row r="549" spans="2:11" x14ac:dyDescent="0.3">
      <c r="C549" t="s">
        <v>464</v>
      </c>
      <c r="E549" s="14">
        <v>10130</v>
      </c>
      <c r="F549" s="163">
        <f t="shared" si="28"/>
        <v>10130000</v>
      </c>
    </row>
    <row r="550" spans="2:11" x14ac:dyDescent="0.3">
      <c r="C550" t="s">
        <v>465</v>
      </c>
      <c r="E550" s="14">
        <v>10550</v>
      </c>
      <c r="F550" s="163">
        <f t="shared" si="28"/>
        <v>10550000</v>
      </c>
    </row>
    <row r="551" spans="2:11" x14ac:dyDescent="0.3">
      <c r="C551" t="s">
        <v>466</v>
      </c>
      <c r="E551" s="14">
        <v>1279</v>
      </c>
      <c r="F551" s="163">
        <f t="shared" si="28"/>
        <v>1279000</v>
      </c>
    </row>
    <row r="552" spans="2:11" x14ac:dyDescent="0.3">
      <c r="C552" t="s">
        <v>467</v>
      </c>
      <c r="E552" s="14">
        <v>20837</v>
      </c>
      <c r="F552" s="163">
        <f t="shared" si="28"/>
        <v>20837000</v>
      </c>
    </row>
    <row r="553" spans="2:11" x14ac:dyDescent="0.3">
      <c r="C553" t="s">
        <v>468</v>
      </c>
      <c r="E553" s="14">
        <v>50</v>
      </c>
      <c r="F553" s="163">
        <f t="shared" si="28"/>
        <v>50000</v>
      </c>
    </row>
    <row r="554" spans="2:11" x14ac:dyDescent="0.3">
      <c r="G554" s="4"/>
      <c r="H554" s="30"/>
    </row>
    <row r="555" spans="2:11" s="2" customFormat="1" x14ac:dyDescent="0.3">
      <c r="B555" s="2" t="s">
        <v>469</v>
      </c>
      <c r="E555" s="15">
        <v>5754</v>
      </c>
      <c r="F555" s="159"/>
      <c r="G555" s="17">
        <f t="shared" si="27"/>
        <v>5754000</v>
      </c>
      <c r="H555" s="33">
        <f>SUM(H556:H562)</f>
        <v>0</v>
      </c>
      <c r="I555" s="54"/>
      <c r="J555" s="54"/>
      <c r="K555" s="51"/>
    </row>
    <row r="556" spans="2:11" x14ac:dyDescent="0.3">
      <c r="C556" t="s">
        <v>470</v>
      </c>
      <c r="E556" s="14">
        <v>5754</v>
      </c>
      <c r="F556" s="163">
        <f>E556*1000</f>
        <v>5754000</v>
      </c>
    </row>
    <row r="557" spans="2:11" x14ac:dyDescent="0.3">
      <c r="C557" t="s">
        <v>471</v>
      </c>
      <c r="E557" s="14">
        <v>0</v>
      </c>
      <c r="F557" s="163">
        <f>E557*1000</f>
        <v>0</v>
      </c>
    </row>
    <row r="558" spans="2:11" x14ac:dyDescent="0.3">
      <c r="C558" t="s">
        <v>470</v>
      </c>
      <c r="E558" s="14">
        <v>0</v>
      </c>
      <c r="F558" s="163">
        <f>E558*1000</f>
        <v>0</v>
      </c>
    </row>
    <row r="559" spans="2:11" x14ac:dyDescent="0.3">
      <c r="G559" s="4"/>
      <c r="H559" s="30"/>
    </row>
    <row r="560" spans="2:11" s="2" customFormat="1" x14ac:dyDescent="0.3">
      <c r="B560" s="2" t="s">
        <v>472</v>
      </c>
      <c r="E560" s="15">
        <v>52429</v>
      </c>
      <c r="F560" s="159"/>
      <c r="G560" s="17">
        <f t="shared" si="27"/>
        <v>52429000</v>
      </c>
      <c r="H560" s="33">
        <f>SUM(H561:H562)</f>
        <v>0</v>
      </c>
      <c r="I560" s="54"/>
      <c r="J560" s="54"/>
      <c r="K560" s="51"/>
    </row>
    <row r="561" spans="2:11" x14ac:dyDescent="0.3">
      <c r="C561" t="s">
        <v>473</v>
      </c>
      <c r="E561" s="14">
        <v>47929</v>
      </c>
      <c r="F561" s="163">
        <f>E561*1000</f>
        <v>47929000</v>
      </c>
    </row>
    <row r="562" spans="2:11" x14ac:dyDescent="0.3">
      <c r="C562" t="s">
        <v>474</v>
      </c>
      <c r="E562" s="14">
        <v>4500</v>
      </c>
      <c r="F562" s="163">
        <f>E562*1000</f>
        <v>4500000</v>
      </c>
    </row>
    <row r="563" spans="2:11" x14ac:dyDescent="0.3">
      <c r="G563" s="4"/>
      <c r="H563" s="30"/>
    </row>
    <row r="564" spans="2:11" s="39" customFormat="1" ht="18" x14ac:dyDescent="0.35">
      <c r="B564" s="39" t="s">
        <v>475</v>
      </c>
      <c r="E564" s="40">
        <v>2973063</v>
      </c>
      <c r="F564" s="156">
        <f>G564/$G$141</f>
        <v>5.4014793853446562E-2</v>
      </c>
      <c r="G564" s="41">
        <f t="shared" si="27"/>
        <v>2973063000</v>
      </c>
      <c r="H564" s="42">
        <f>H566+H571+H582+H585+H593+H600</f>
        <v>110280000</v>
      </c>
      <c r="I564" s="54"/>
      <c r="J564" s="54"/>
      <c r="K564" s="48"/>
    </row>
    <row r="565" spans="2:11" s="39" customFormat="1" ht="18" x14ac:dyDescent="0.35">
      <c r="E565" s="40"/>
      <c r="F565" s="157"/>
      <c r="G565" s="4">
        <f>G564/Ihmismäärät!$C$14</f>
        <v>542.33181320685878</v>
      </c>
      <c r="H565" s="42"/>
      <c r="I565" s="54"/>
      <c r="J565" s="54"/>
      <c r="K565" s="48"/>
    </row>
    <row r="566" spans="2:11" s="2" customFormat="1" x14ac:dyDescent="0.3">
      <c r="B566" s="2" t="s">
        <v>476</v>
      </c>
      <c r="E566" s="15">
        <v>412069</v>
      </c>
      <c r="F566" s="160"/>
      <c r="G566" s="17">
        <f>E566*1000</f>
        <v>412069000</v>
      </c>
      <c r="H566" s="33">
        <f>SUM(H567:H569)</f>
        <v>0</v>
      </c>
      <c r="I566" s="54"/>
      <c r="J566" s="54"/>
      <c r="K566" s="49"/>
    </row>
    <row r="567" spans="2:11" x14ac:dyDescent="0.3">
      <c r="C567" t="s">
        <v>477</v>
      </c>
      <c r="E567" s="14">
        <v>15534</v>
      </c>
      <c r="F567" s="163">
        <f t="shared" ref="F567:F572" si="29">E567*1000</f>
        <v>15534000</v>
      </c>
    </row>
    <row r="568" spans="2:11" x14ac:dyDescent="0.3">
      <c r="C568" t="s">
        <v>478</v>
      </c>
      <c r="E568" s="14">
        <v>1660</v>
      </c>
      <c r="F568" s="163">
        <f t="shared" si="29"/>
        <v>1660000</v>
      </c>
    </row>
    <row r="569" spans="2:11" s="28" customFormat="1" x14ac:dyDescent="0.3">
      <c r="C569" s="28" t="s">
        <v>479</v>
      </c>
      <c r="E569" s="29">
        <v>394875</v>
      </c>
      <c r="F569" s="163">
        <f t="shared" si="29"/>
        <v>394875000</v>
      </c>
      <c r="I569" s="54"/>
      <c r="J569" s="54"/>
      <c r="K569" s="47"/>
    </row>
    <row r="570" spans="2:11" x14ac:dyDescent="0.3">
      <c r="F570" s="163"/>
    </row>
    <row r="571" spans="2:11" s="2" customFormat="1" x14ac:dyDescent="0.3">
      <c r="B571" s="2" t="s">
        <v>480</v>
      </c>
      <c r="E571" s="15">
        <v>1719417</v>
      </c>
      <c r="F571" s="160"/>
      <c r="G571" s="17">
        <f>E571*1000</f>
        <v>1719417000</v>
      </c>
      <c r="H571" s="33">
        <f>SUM(H572:H580)</f>
        <v>0</v>
      </c>
      <c r="I571" s="54"/>
      <c r="J571" s="54"/>
      <c r="K571" s="49"/>
    </row>
    <row r="572" spans="2:11" x14ac:dyDescent="0.3">
      <c r="C572" t="s">
        <v>481</v>
      </c>
      <c r="E572" s="14">
        <v>78265</v>
      </c>
      <c r="F572" s="163">
        <f t="shared" si="29"/>
        <v>78265000</v>
      </c>
    </row>
    <row r="573" spans="2:11" x14ac:dyDescent="0.3">
      <c r="C573" t="s">
        <v>482</v>
      </c>
      <c r="E573" s="14">
        <v>1061400</v>
      </c>
      <c r="F573" s="163">
        <f>E573*1000</f>
        <v>1061400000</v>
      </c>
    </row>
    <row r="574" spans="2:11" x14ac:dyDescent="0.3">
      <c r="C574" t="s">
        <v>483</v>
      </c>
      <c r="E574" s="14">
        <v>20850</v>
      </c>
      <c r="F574" s="163">
        <f t="shared" ref="F574:F583" si="30">E574*1000</f>
        <v>20850000</v>
      </c>
    </row>
    <row r="575" spans="2:11" x14ac:dyDescent="0.3">
      <c r="C575" t="s">
        <v>484</v>
      </c>
      <c r="E575" s="14">
        <v>1150</v>
      </c>
      <c r="F575" s="163">
        <f t="shared" si="30"/>
        <v>1150000</v>
      </c>
    </row>
    <row r="576" spans="2:11" x14ac:dyDescent="0.3">
      <c r="C576" t="s">
        <v>485</v>
      </c>
      <c r="E576" s="14">
        <v>8000</v>
      </c>
      <c r="F576" s="163">
        <f t="shared" si="30"/>
        <v>8000000</v>
      </c>
    </row>
    <row r="577" spans="2:11" x14ac:dyDescent="0.3">
      <c r="C577" t="s">
        <v>486</v>
      </c>
      <c r="E577" s="14">
        <v>34997</v>
      </c>
      <c r="F577" s="163">
        <f t="shared" si="30"/>
        <v>34997000</v>
      </c>
    </row>
    <row r="578" spans="2:11" x14ac:dyDescent="0.3">
      <c r="C578" t="s">
        <v>487</v>
      </c>
      <c r="E578" s="14">
        <v>347729</v>
      </c>
      <c r="F578" s="163">
        <f t="shared" si="30"/>
        <v>347729000</v>
      </c>
    </row>
    <row r="579" spans="2:11" x14ac:dyDescent="0.3">
      <c r="C579" t="s">
        <v>488</v>
      </c>
      <c r="E579" s="14">
        <v>58000</v>
      </c>
      <c r="F579" s="163">
        <f t="shared" si="30"/>
        <v>58000000</v>
      </c>
    </row>
    <row r="580" spans="2:11" s="28" customFormat="1" x14ac:dyDescent="0.3">
      <c r="C580" s="28" t="s">
        <v>489</v>
      </c>
      <c r="E580" s="29">
        <v>109026</v>
      </c>
      <c r="F580" s="163">
        <f t="shared" si="30"/>
        <v>109026000</v>
      </c>
      <c r="I580" s="54"/>
      <c r="J580" s="54"/>
      <c r="K580" s="47"/>
    </row>
    <row r="581" spans="2:11" x14ac:dyDescent="0.3">
      <c r="F581" s="163"/>
    </row>
    <row r="582" spans="2:11" s="2" customFormat="1" x14ac:dyDescent="0.3">
      <c r="B582" s="2" t="s">
        <v>490</v>
      </c>
      <c r="E582" s="15">
        <v>47703</v>
      </c>
      <c r="F582" s="158"/>
      <c r="G582" s="17">
        <f>E582*1000</f>
        <v>47703000</v>
      </c>
      <c r="H582" s="33">
        <f>SUM(H583)</f>
        <v>0</v>
      </c>
      <c r="I582" s="54"/>
      <c r="J582" s="54"/>
      <c r="K582" s="49"/>
    </row>
    <row r="583" spans="2:11" x14ac:dyDescent="0.3">
      <c r="C583" t="s">
        <v>491</v>
      </c>
      <c r="E583" s="14">
        <v>47703</v>
      </c>
      <c r="F583" s="163">
        <f t="shared" si="30"/>
        <v>47703000</v>
      </c>
    </row>
    <row r="584" spans="2:11" x14ac:dyDescent="0.3">
      <c r="G584" s="4"/>
      <c r="H584" s="30"/>
    </row>
    <row r="585" spans="2:11" s="2" customFormat="1" x14ac:dyDescent="0.3">
      <c r="B585" s="2" t="s">
        <v>492</v>
      </c>
      <c r="E585" s="15">
        <v>206038</v>
      </c>
      <c r="F585" s="159"/>
      <c r="G585" s="17">
        <f t="shared" si="27"/>
        <v>206038000</v>
      </c>
      <c r="H585" s="33">
        <f>SUM(H586:H591)</f>
        <v>100420000</v>
      </c>
      <c r="I585" s="54"/>
      <c r="J585" s="54"/>
      <c r="K585" s="51"/>
    </row>
    <row r="586" spans="2:11" x14ac:dyDescent="0.3">
      <c r="C586" t="s">
        <v>493</v>
      </c>
      <c r="E586" s="14">
        <v>841</v>
      </c>
      <c r="F586" s="163">
        <f t="shared" ref="F586:F591" si="31">E586*1000</f>
        <v>841000</v>
      </c>
    </row>
    <row r="587" spans="2:11" x14ac:dyDescent="0.3">
      <c r="C587" t="s">
        <v>494</v>
      </c>
      <c r="E587" s="14">
        <v>100420</v>
      </c>
      <c r="F587" s="163">
        <f t="shared" si="31"/>
        <v>100420000</v>
      </c>
      <c r="H587" s="30">
        <f>F587</f>
        <v>100420000</v>
      </c>
    </row>
    <row r="588" spans="2:11" x14ac:dyDescent="0.3">
      <c r="C588" t="s">
        <v>495</v>
      </c>
      <c r="E588" s="14">
        <v>4200</v>
      </c>
      <c r="F588" s="163">
        <f t="shared" si="31"/>
        <v>4200000</v>
      </c>
    </row>
    <row r="589" spans="2:11" x14ac:dyDescent="0.3">
      <c r="C589" t="s">
        <v>496</v>
      </c>
      <c r="E589" s="14">
        <v>82774</v>
      </c>
      <c r="F589" s="163">
        <f t="shared" si="31"/>
        <v>82774000</v>
      </c>
    </row>
    <row r="590" spans="2:11" x14ac:dyDescent="0.3">
      <c r="C590" t="s">
        <v>497</v>
      </c>
      <c r="E590" s="14">
        <v>12500</v>
      </c>
      <c r="F590" s="163">
        <f t="shared" si="31"/>
        <v>12500000</v>
      </c>
    </row>
    <row r="591" spans="2:11" x14ac:dyDescent="0.3">
      <c r="C591" t="s">
        <v>498</v>
      </c>
      <c r="E591" s="14">
        <v>5303</v>
      </c>
      <c r="F591" s="163">
        <f t="shared" si="31"/>
        <v>5303000</v>
      </c>
    </row>
    <row r="592" spans="2:11" x14ac:dyDescent="0.3">
      <c r="G592" s="4"/>
      <c r="H592" s="30"/>
    </row>
    <row r="593" spans="2:11" s="2" customFormat="1" x14ac:dyDescent="0.3">
      <c r="B593" s="2" t="s">
        <v>499</v>
      </c>
      <c r="E593" s="15">
        <v>543713</v>
      </c>
      <c r="F593" s="159"/>
      <c r="G593" s="17">
        <f t="shared" si="27"/>
        <v>543713000</v>
      </c>
      <c r="H593" s="33">
        <f>SUM(H594:H598)</f>
        <v>9860000</v>
      </c>
      <c r="I593" s="54"/>
      <c r="J593" s="54"/>
      <c r="K593" s="51"/>
    </row>
    <row r="594" spans="2:11" x14ac:dyDescent="0.3">
      <c r="C594" t="s">
        <v>500</v>
      </c>
      <c r="E594" s="14">
        <v>11609</v>
      </c>
      <c r="F594" s="163">
        <f>E594*1000</f>
        <v>11609000</v>
      </c>
    </row>
    <row r="595" spans="2:11" x14ac:dyDescent="0.3">
      <c r="C595" t="s">
        <v>501</v>
      </c>
      <c r="E595" s="14">
        <v>0</v>
      </c>
      <c r="F595" s="163">
        <f>E595*1000</f>
        <v>0</v>
      </c>
    </row>
    <row r="596" spans="2:11" x14ac:dyDescent="0.3">
      <c r="C596" t="s">
        <v>502</v>
      </c>
      <c r="E596" s="14">
        <v>9860</v>
      </c>
      <c r="F596" s="163">
        <f>E596*1000</f>
        <v>9860000</v>
      </c>
      <c r="H596" s="30">
        <f>F596</f>
        <v>9860000</v>
      </c>
    </row>
    <row r="597" spans="2:11" x14ac:dyDescent="0.3">
      <c r="C597" t="s">
        <v>503</v>
      </c>
      <c r="E597" s="14">
        <v>14296</v>
      </c>
      <c r="F597" s="163">
        <f>E597*1000</f>
        <v>14296000</v>
      </c>
    </row>
    <row r="598" spans="2:11" s="28" customFormat="1" x14ac:dyDescent="0.3">
      <c r="C598" s="28" t="s">
        <v>504</v>
      </c>
      <c r="E598" s="29">
        <v>507948</v>
      </c>
      <c r="F598" s="163">
        <f>E598*1000</f>
        <v>507948000</v>
      </c>
      <c r="I598" s="54"/>
      <c r="J598" s="54"/>
      <c r="K598" s="47"/>
    </row>
    <row r="599" spans="2:11" x14ac:dyDescent="0.3">
      <c r="F599" s="163"/>
    </row>
    <row r="600" spans="2:11" s="2" customFormat="1" x14ac:dyDescent="0.3">
      <c r="B600" s="2" t="s">
        <v>505</v>
      </c>
      <c r="E600" s="15">
        <v>44123</v>
      </c>
      <c r="F600" s="159"/>
      <c r="G600" s="17">
        <f>E600*1000</f>
        <v>44123000</v>
      </c>
      <c r="H600" s="33">
        <f>SUM(H601)</f>
        <v>0</v>
      </c>
      <c r="I600" s="54"/>
      <c r="J600" s="54"/>
      <c r="K600" s="51"/>
    </row>
    <row r="601" spans="2:11" s="28" customFormat="1" x14ac:dyDescent="0.3">
      <c r="C601" s="28" t="s">
        <v>506</v>
      </c>
      <c r="E601" s="29">
        <v>44123</v>
      </c>
      <c r="F601" s="163">
        <f>E601*1000</f>
        <v>44123000</v>
      </c>
      <c r="I601" s="54"/>
      <c r="J601" s="54"/>
      <c r="K601" s="47"/>
    </row>
    <row r="602" spans="2:11" x14ac:dyDescent="0.3">
      <c r="G602" s="4"/>
      <c r="H602" s="30"/>
    </row>
    <row r="603" spans="2:11" s="39" customFormat="1" ht="18" x14ac:dyDescent="0.35">
      <c r="B603" s="39" t="s">
        <v>507</v>
      </c>
      <c r="E603" s="40">
        <v>3088247</v>
      </c>
      <c r="F603" s="156">
        <f>G603/$G$141</f>
        <v>5.6107463943254748E-2</v>
      </c>
      <c r="G603" s="41">
        <f t="shared" si="27"/>
        <v>3088247000</v>
      </c>
      <c r="H603" s="42">
        <f>H605+H620+H639+H646+H656+H660+H670</f>
        <v>1211110000</v>
      </c>
      <c r="I603" s="54"/>
      <c r="J603" s="54"/>
      <c r="K603" s="48"/>
    </row>
    <row r="604" spans="2:11" x14ac:dyDescent="0.3">
      <c r="G604" s="4">
        <f>G603/Ihmismäärät!$C$14</f>
        <v>563.34312294782922</v>
      </c>
      <c r="H604" s="30"/>
    </row>
    <row r="605" spans="2:11" s="2" customFormat="1" x14ac:dyDescent="0.3">
      <c r="B605" s="2" t="s">
        <v>162</v>
      </c>
      <c r="E605" s="15">
        <v>507941</v>
      </c>
      <c r="F605" s="159"/>
      <c r="G605" s="17">
        <f>E605*1000</f>
        <v>507941000</v>
      </c>
      <c r="H605" s="33">
        <f>SUM(H606:H618)</f>
        <v>195871000</v>
      </c>
      <c r="I605" s="54"/>
      <c r="J605" s="54"/>
      <c r="K605" s="49"/>
    </row>
    <row r="606" spans="2:11" x14ac:dyDescent="0.3">
      <c r="C606" t="s">
        <v>508</v>
      </c>
      <c r="E606" s="14">
        <v>33559</v>
      </c>
      <c r="F606" s="163">
        <f t="shared" ref="F606:F618" si="32">E606*1000</f>
        <v>33559000</v>
      </c>
    </row>
    <row r="607" spans="2:11" x14ac:dyDescent="0.3">
      <c r="C607" t="s">
        <v>509</v>
      </c>
      <c r="E607" s="14">
        <v>193155</v>
      </c>
      <c r="F607" s="163">
        <f t="shared" si="32"/>
        <v>193155000</v>
      </c>
    </row>
    <row r="608" spans="2:11" x14ac:dyDescent="0.3">
      <c r="C608" t="s">
        <v>510</v>
      </c>
      <c r="E608" s="14">
        <v>4939</v>
      </c>
      <c r="F608" s="163">
        <f t="shared" si="32"/>
        <v>4939000</v>
      </c>
    </row>
    <row r="609" spans="2:11" x14ac:dyDescent="0.3">
      <c r="C609" t="s">
        <v>511</v>
      </c>
      <c r="E609" s="14">
        <v>2316</v>
      </c>
      <c r="F609" s="163">
        <f t="shared" si="32"/>
        <v>2316000</v>
      </c>
    </row>
    <row r="610" spans="2:11" x14ac:dyDescent="0.3">
      <c r="C610" t="s">
        <v>512</v>
      </c>
      <c r="E610" s="14">
        <v>0</v>
      </c>
      <c r="F610" s="163">
        <f t="shared" si="32"/>
        <v>0</v>
      </c>
    </row>
    <row r="611" spans="2:11" s="28" customFormat="1" x14ac:dyDescent="0.3">
      <c r="C611" s="28" t="s">
        <v>513</v>
      </c>
      <c r="E611" s="29">
        <v>33622</v>
      </c>
      <c r="F611" s="163">
        <f t="shared" si="32"/>
        <v>33622000</v>
      </c>
      <c r="I611" s="54"/>
      <c r="J611" s="54"/>
      <c r="K611" s="47"/>
    </row>
    <row r="612" spans="2:11" x14ac:dyDescent="0.3">
      <c r="C612" t="s">
        <v>514</v>
      </c>
      <c r="E612" s="14">
        <v>13371</v>
      </c>
      <c r="F612" s="163">
        <f t="shared" si="32"/>
        <v>13371000</v>
      </c>
      <c r="H612" s="30">
        <f>F612</f>
        <v>13371000</v>
      </c>
    </row>
    <row r="613" spans="2:11" x14ac:dyDescent="0.3">
      <c r="C613" t="s">
        <v>515</v>
      </c>
      <c r="E613" s="14">
        <v>1972</v>
      </c>
      <c r="F613" s="163">
        <f t="shared" si="32"/>
        <v>1972000</v>
      </c>
    </row>
    <row r="614" spans="2:11" x14ac:dyDescent="0.3">
      <c r="C614" t="s">
        <v>516</v>
      </c>
      <c r="E614" s="14">
        <v>30000</v>
      </c>
      <c r="F614" s="163">
        <f t="shared" si="32"/>
        <v>30000000</v>
      </c>
    </row>
    <row r="615" spans="2:11" x14ac:dyDescent="0.3">
      <c r="C615" t="s">
        <v>517</v>
      </c>
      <c r="E615" s="14">
        <v>20</v>
      </c>
      <c r="F615" s="163">
        <f t="shared" si="32"/>
        <v>20000</v>
      </c>
    </row>
    <row r="616" spans="2:11" x14ac:dyDescent="0.3">
      <c r="C616" t="s">
        <v>518</v>
      </c>
      <c r="E616" s="14">
        <v>8007</v>
      </c>
      <c r="F616" s="163">
        <f t="shared" si="32"/>
        <v>8007000</v>
      </c>
    </row>
    <row r="617" spans="2:11" x14ac:dyDescent="0.3">
      <c r="C617" t="s">
        <v>519</v>
      </c>
      <c r="E617" s="14">
        <v>4480</v>
      </c>
      <c r="F617" s="163">
        <f t="shared" si="32"/>
        <v>4480000</v>
      </c>
    </row>
    <row r="618" spans="2:11" x14ac:dyDescent="0.3">
      <c r="C618" t="s">
        <v>520</v>
      </c>
      <c r="E618" s="14">
        <v>182500</v>
      </c>
      <c r="F618" s="163">
        <f t="shared" si="32"/>
        <v>182500000</v>
      </c>
      <c r="H618" s="30">
        <f>F618</f>
        <v>182500000</v>
      </c>
    </row>
    <row r="619" spans="2:11" x14ac:dyDescent="0.3">
      <c r="G619" s="4"/>
      <c r="H619" s="30"/>
    </row>
    <row r="620" spans="2:11" s="2" customFormat="1" x14ac:dyDescent="0.3">
      <c r="B620" s="2" t="s">
        <v>521</v>
      </c>
      <c r="E620" s="15">
        <v>941258</v>
      </c>
      <c r="F620" s="159"/>
      <c r="G620" s="17">
        <f t="shared" ref="G620:G676" si="33">E620*1000</f>
        <v>941258000</v>
      </c>
      <c r="H620" s="33">
        <f>SUM(H621:H637)</f>
        <v>68524000</v>
      </c>
      <c r="I620" s="54"/>
      <c r="J620" s="54"/>
      <c r="K620" s="49"/>
    </row>
    <row r="621" spans="2:11" x14ac:dyDescent="0.3">
      <c r="C621" t="s">
        <v>522</v>
      </c>
      <c r="E621" s="14">
        <v>32665</v>
      </c>
      <c r="F621" s="163">
        <f t="shared" ref="F621:F637" si="34">E621*1000</f>
        <v>32665000</v>
      </c>
    </row>
    <row r="622" spans="2:11" x14ac:dyDescent="0.3">
      <c r="C622" t="s">
        <v>523</v>
      </c>
      <c r="E622" s="14">
        <v>38152</v>
      </c>
      <c r="F622" s="163">
        <f t="shared" si="34"/>
        <v>38152000</v>
      </c>
    </row>
    <row r="623" spans="2:11" x14ac:dyDescent="0.3">
      <c r="C623" t="s">
        <v>524</v>
      </c>
      <c r="E623" s="14">
        <v>500</v>
      </c>
      <c r="F623" s="163">
        <f t="shared" si="34"/>
        <v>500000</v>
      </c>
      <c r="H623" s="30">
        <f>F623</f>
        <v>500000</v>
      </c>
    </row>
    <row r="624" spans="2:11" x14ac:dyDescent="0.3">
      <c r="C624" t="s">
        <v>525</v>
      </c>
      <c r="E624" s="14">
        <v>335370</v>
      </c>
      <c r="F624" s="163">
        <f t="shared" si="34"/>
        <v>335370000</v>
      </c>
    </row>
    <row r="625" spans="2:11" s="28" customFormat="1" x14ac:dyDescent="0.3">
      <c r="C625" s="28" t="s">
        <v>526</v>
      </c>
      <c r="E625" s="29">
        <v>35600</v>
      </c>
      <c r="F625" s="163">
        <f t="shared" si="34"/>
        <v>35600000</v>
      </c>
      <c r="I625" s="54"/>
      <c r="J625" s="54"/>
      <c r="K625" s="47"/>
    </row>
    <row r="626" spans="2:11" x14ac:dyDescent="0.3">
      <c r="C626" t="s">
        <v>527</v>
      </c>
      <c r="E626" s="14">
        <v>7024</v>
      </c>
      <c r="F626" s="163">
        <f t="shared" si="34"/>
        <v>7024000</v>
      </c>
      <c r="H626" s="30">
        <f>F626</f>
        <v>7024000</v>
      </c>
    </row>
    <row r="627" spans="2:11" x14ac:dyDescent="0.3">
      <c r="C627" t="s">
        <v>528</v>
      </c>
      <c r="E627" s="14">
        <v>9128</v>
      </c>
      <c r="F627" s="163">
        <f t="shared" si="34"/>
        <v>9128000</v>
      </c>
    </row>
    <row r="628" spans="2:11" x14ac:dyDescent="0.3">
      <c r="C628" t="s">
        <v>529</v>
      </c>
      <c r="E628" s="14">
        <v>56735</v>
      </c>
      <c r="F628" s="163">
        <f t="shared" si="34"/>
        <v>56735000</v>
      </c>
    </row>
    <row r="629" spans="2:11" x14ac:dyDescent="0.3">
      <c r="C629" t="s">
        <v>530</v>
      </c>
      <c r="E629" s="14">
        <v>20200</v>
      </c>
      <c r="F629" s="163">
        <f t="shared" si="34"/>
        <v>20200000</v>
      </c>
    </row>
    <row r="630" spans="2:11" x14ac:dyDescent="0.3">
      <c r="C630" t="s">
        <v>531</v>
      </c>
      <c r="E630" s="14">
        <v>91770</v>
      </c>
      <c r="F630" s="163">
        <f t="shared" si="34"/>
        <v>91770000</v>
      </c>
    </row>
    <row r="631" spans="2:11" x14ac:dyDescent="0.3">
      <c r="C631" t="s">
        <v>532</v>
      </c>
      <c r="E631" s="14">
        <v>1000</v>
      </c>
      <c r="F631" s="163">
        <f t="shared" si="34"/>
        <v>1000000</v>
      </c>
      <c r="H631" s="30">
        <f>F631</f>
        <v>1000000</v>
      </c>
    </row>
    <row r="632" spans="2:11" x14ac:dyDescent="0.3">
      <c r="C632" t="s">
        <v>533</v>
      </c>
      <c r="E632" s="14">
        <v>106404</v>
      </c>
      <c r="F632" s="163">
        <f t="shared" si="34"/>
        <v>106404000</v>
      </c>
    </row>
    <row r="633" spans="2:11" x14ac:dyDescent="0.3">
      <c r="C633" t="s">
        <v>534</v>
      </c>
      <c r="E633" s="14">
        <v>10</v>
      </c>
      <c r="F633" s="163">
        <f t="shared" si="34"/>
        <v>10000</v>
      </c>
    </row>
    <row r="634" spans="2:11" x14ac:dyDescent="0.3">
      <c r="C634" t="s">
        <v>535</v>
      </c>
      <c r="E634" s="14">
        <v>141700</v>
      </c>
      <c r="F634" s="163">
        <f t="shared" si="34"/>
        <v>141700000</v>
      </c>
    </row>
    <row r="635" spans="2:11" x14ac:dyDescent="0.3">
      <c r="C635" t="s">
        <v>536</v>
      </c>
      <c r="E635" s="14">
        <v>5000</v>
      </c>
      <c r="F635" s="163">
        <f t="shared" si="34"/>
        <v>5000000</v>
      </c>
    </row>
    <row r="636" spans="2:11" x14ac:dyDescent="0.3">
      <c r="C636" t="s">
        <v>537</v>
      </c>
      <c r="E636" s="14">
        <v>30000</v>
      </c>
      <c r="F636" s="163">
        <f t="shared" si="34"/>
        <v>30000000</v>
      </c>
      <c r="H636" s="30">
        <f>F636</f>
        <v>30000000</v>
      </c>
    </row>
    <row r="637" spans="2:11" x14ac:dyDescent="0.3">
      <c r="C637" t="s">
        <v>538</v>
      </c>
      <c r="E637" s="14">
        <v>30000</v>
      </c>
      <c r="F637" s="163">
        <f t="shared" si="34"/>
        <v>30000000</v>
      </c>
      <c r="H637" s="30">
        <f>F637</f>
        <v>30000000</v>
      </c>
    </row>
    <row r="638" spans="2:11" x14ac:dyDescent="0.3">
      <c r="G638" s="4"/>
      <c r="H638" s="30"/>
    </row>
    <row r="639" spans="2:11" s="2" customFormat="1" x14ac:dyDescent="0.3">
      <c r="B639" s="2" t="s">
        <v>539</v>
      </c>
      <c r="E639" s="15">
        <v>804450</v>
      </c>
      <c r="F639" s="159"/>
      <c r="G639" s="17">
        <f t="shared" si="33"/>
        <v>804450000</v>
      </c>
      <c r="H639" s="33">
        <f>SUM(H640:H644)</f>
        <v>628713000</v>
      </c>
      <c r="I639" s="54"/>
      <c r="J639" s="54"/>
      <c r="K639" s="49"/>
    </row>
    <row r="640" spans="2:11" x14ac:dyDescent="0.3">
      <c r="C640" t="s">
        <v>540</v>
      </c>
      <c r="E640" s="14">
        <v>164737</v>
      </c>
      <c r="F640" s="163">
        <f>E640*1000</f>
        <v>164737000</v>
      </c>
    </row>
    <row r="641" spans="2:11" x14ac:dyDescent="0.3">
      <c r="C641" t="s">
        <v>541</v>
      </c>
      <c r="E641" s="14">
        <v>5000</v>
      </c>
      <c r="F641" s="163">
        <f>E641*1000</f>
        <v>5000000</v>
      </c>
    </row>
    <row r="642" spans="2:11" x14ac:dyDescent="0.3">
      <c r="C642" t="s">
        <v>542</v>
      </c>
      <c r="E642" s="14">
        <v>30218</v>
      </c>
      <c r="F642" s="163">
        <f>E642*1000</f>
        <v>30218000</v>
      </c>
      <c r="H642" s="30">
        <f>F642</f>
        <v>30218000</v>
      </c>
    </row>
    <row r="643" spans="2:11" x14ac:dyDescent="0.3">
      <c r="C643" t="s">
        <v>543</v>
      </c>
      <c r="E643" s="14">
        <v>598495</v>
      </c>
      <c r="F643" s="163">
        <f>E643*1000</f>
        <v>598495000</v>
      </c>
      <c r="H643" s="30">
        <f>F643</f>
        <v>598495000</v>
      </c>
    </row>
    <row r="644" spans="2:11" x14ac:dyDescent="0.3">
      <c r="C644" t="s">
        <v>544</v>
      </c>
      <c r="E644" s="14">
        <v>6000</v>
      </c>
      <c r="F644" s="163">
        <f>E644*1000</f>
        <v>6000000</v>
      </c>
    </row>
    <row r="645" spans="2:11" x14ac:dyDescent="0.3">
      <c r="F645" s="163"/>
    </row>
    <row r="646" spans="2:11" s="2" customFormat="1" x14ac:dyDescent="0.3">
      <c r="B646" s="2" t="s">
        <v>545</v>
      </c>
      <c r="E646" s="15">
        <v>85677</v>
      </c>
      <c r="F646" s="159"/>
      <c r="G646" s="17">
        <f>E646*1000</f>
        <v>85677000</v>
      </c>
      <c r="H646" s="33">
        <f>SUM(H647:H654)</f>
        <v>0</v>
      </c>
      <c r="I646" s="54"/>
      <c r="J646" s="54"/>
      <c r="K646" s="49"/>
    </row>
    <row r="647" spans="2:11" x14ac:dyDescent="0.3">
      <c r="C647" t="s">
        <v>546</v>
      </c>
      <c r="E647" s="14">
        <v>9969</v>
      </c>
      <c r="F647" s="163">
        <f t="shared" ref="F647:F654" si="35">E647*1000</f>
        <v>9969000</v>
      </c>
    </row>
    <row r="648" spans="2:11" x14ac:dyDescent="0.3">
      <c r="C648" t="s">
        <v>547</v>
      </c>
      <c r="E648" s="14">
        <v>4541</v>
      </c>
      <c r="F648" s="163">
        <f t="shared" si="35"/>
        <v>4541000</v>
      </c>
    </row>
    <row r="649" spans="2:11" x14ac:dyDescent="0.3">
      <c r="C649" t="s">
        <v>548</v>
      </c>
      <c r="E649" s="14">
        <v>19647</v>
      </c>
      <c r="F649" s="163">
        <f t="shared" si="35"/>
        <v>19647000</v>
      </c>
    </row>
    <row r="650" spans="2:11" x14ac:dyDescent="0.3">
      <c r="C650" t="s">
        <v>549</v>
      </c>
      <c r="E650" s="14">
        <v>4731</v>
      </c>
      <c r="F650" s="163">
        <f t="shared" si="35"/>
        <v>4731000</v>
      </c>
    </row>
    <row r="651" spans="2:11" x14ac:dyDescent="0.3">
      <c r="C651" t="s">
        <v>550</v>
      </c>
      <c r="E651" s="14">
        <v>897</v>
      </c>
      <c r="F651" s="163">
        <f t="shared" si="35"/>
        <v>897000</v>
      </c>
    </row>
    <row r="652" spans="2:11" x14ac:dyDescent="0.3">
      <c r="C652" t="s">
        <v>551</v>
      </c>
      <c r="E652" s="14">
        <v>2572</v>
      </c>
      <c r="F652" s="163">
        <f t="shared" si="35"/>
        <v>2572000</v>
      </c>
    </row>
    <row r="653" spans="2:11" x14ac:dyDescent="0.3">
      <c r="C653" t="s">
        <v>552</v>
      </c>
      <c r="E653" s="14">
        <v>43000</v>
      </c>
      <c r="F653" s="163">
        <f t="shared" si="35"/>
        <v>43000000</v>
      </c>
    </row>
    <row r="654" spans="2:11" x14ac:dyDescent="0.3">
      <c r="C654" t="s">
        <v>553</v>
      </c>
      <c r="E654" s="14">
        <v>320</v>
      </c>
      <c r="F654" s="163">
        <f t="shared" si="35"/>
        <v>320000</v>
      </c>
    </row>
    <row r="655" spans="2:11" x14ac:dyDescent="0.3">
      <c r="G655" s="4"/>
      <c r="H655" s="30"/>
    </row>
    <row r="656" spans="2:11" s="2" customFormat="1" x14ac:dyDescent="0.3">
      <c r="B656" s="2" t="s">
        <v>554</v>
      </c>
      <c r="E656" s="15">
        <v>277324</v>
      </c>
      <c r="F656" s="159"/>
      <c r="G656" s="17">
        <f t="shared" si="33"/>
        <v>277324000</v>
      </c>
      <c r="H656" s="33">
        <f>SUM(H657:H658)</f>
        <v>15000000</v>
      </c>
      <c r="I656" s="54"/>
      <c r="J656" s="54"/>
      <c r="K656" s="49"/>
    </row>
    <row r="657" spans="2:11" x14ac:dyDescent="0.3">
      <c r="C657" t="s">
        <v>555</v>
      </c>
      <c r="E657" s="14">
        <v>15000</v>
      </c>
      <c r="F657" s="163">
        <f>E657*1000</f>
        <v>15000000</v>
      </c>
      <c r="H657" s="30">
        <f>F657</f>
        <v>15000000</v>
      </c>
    </row>
    <row r="658" spans="2:11" x14ac:dyDescent="0.3">
      <c r="C658" s="31" t="s">
        <v>556</v>
      </c>
      <c r="D658" s="31"/>
      <c r="E658" s="32">
        <v>262324</v>
      </c>
      <c r="F658" s="168">
        <f>E658*1000</f>
        <v>262324000</v>
      </c>
    </row>
    <row r="659" spans="2:11" x14ac:dyDescent="0.3">
      <c r="F659" s="163"/>
    </row>
    <row r="660" spans="2:11" s="2" customFormat="1" x14ac:dyDescent="0.3">
      <c r="B660" s="2" t="s">
        <v>557</v>
      </c>
      <c r="E660" s="15">
        <v>337204</v>
      </c>
      <c r="F660" s="159"/>
      <c r="G660" s="17">
        <f t="shared" si="33"/>
        <v>337204000</v>
      </c>
      <c r="H660" s="33">
        <f>SUM(H661:H668)</f>
        <v>303002000</v>
      </c>
      <c r="I660" s="54"/>
      <c r="J660" s="54"/>
      <c r="K660" s="49"/>
    </row>
    <row r="661" spans="2:11" x14ac:dyDescent="0.3">
      <c r="C661" t="s">
        <v>558</v>
      </c>
      <c r="E661" s="14">
        <v>8821</v>
      </c>
      <c r="F661" s="163">
        <f t="shared" ref="F661:F668" si="36">E661*1000</f>
        <v>8821000</v>
      </c>
    </row>
    <row r="662" spans="2:11" x14ac:dyDescent="0.3">
      <c r="C662" t="s">
        <v>559</v>
      </c>
      <c r="E662" s="14">
        <v>60402</v>
      </c>
      <c r="F662" s="163">
        <f t="shared" si="36"/>
        <v>60402000</v>
      </c>
      <c r="H662" s="30">
        <f t="shared" ref="H662" si="37">F662</f>
        <v>60402000</v>
      </c>
    </row>
    <row r="663" spans="2:11" x14ac:dyDescent="0.3">
      <c r="C663" t="s">
        <v>560</v>
      </c>
      <c r="E663" s="14">
        <v>23611</v>
      </c>
      <c r="F663" s="163">
        <f t="shared" si="36"/>
        <v>23611000</v>
      </c>
    </row>
    <row r="664" spans="2:11" x14ac:dyDescent="0.3">
      <c r="C664" t="s">
        <v>561</v>
      </c>
      <c r="E664" s="14">
        <v>1310</v>
      </c>
      <c r="F664" s="163">
        <f t="shared" si="36"/>
        <v>1310000</v>
      </c>
    </row>
    <row r="665" spans="2:11" x14ac:dyDescent="0.3">
      <c r="C665" t="s">
        <v>562</v>
      </c>
      <c r="E665" s="14">
        <v>460</v>
      </c>
      <c r="F665" s="163">
        <f t="shared" si="36"/>
        <v>460000</v>
      </c>
    </row>
    <row r="666" spans="2:11" x14ac:dyDescent="0.3">
      <c r="C666" t="s">
        <v>563</v>
      </c>
      <c r="E666" s="14">
        <v>194600</v>
      </c>
      <c r="F666" s="163">
        <f t="shared" si="36"/>
        <v>194600000</v>
      </c>
      <c r="H666" s="30">
        <f t="shared" ref="H666:H667" si="38">F666</f>
        <v>194600000</v>
      </c>
    </row>
    <row r="667" spans="2:11" x14ac:dyDescent="0.3">
      <c r="C667" t="s">
        <v>564</v>
      </c>
      <c r="E667" s="14">
        <v>20000</v>
      </c>
      <c r="F667" s="163">
        <f t="shared" si="36"/>
        <v>20000000</v>
      </c>
      <c r="H667" s="30">
        <f t="shared" si="38"/>
        <v>20000000</v>
      </c>
    </row>
    <row r="668" spans="2:11" x14ac:dyDescent="0.3">
      <c r="C668" t="s">
        <v>565</v>
      </c>
      <c r="E668" s="14">
        <v>28000</v>
      </c>
      <c r="F668" s="163">
        <f t="shared" si="36"/>
        <v>28000000</v>
      </c>
      <c r="H668" s="30">
        <f>F668</f>
        <v>28000000</v>
      </c>
    </row>
    <row r="669" spans="2:11" x14ac:dyDescent="0.3">
      <c r="G669" s="4"/>
      <c r="H669" s="30"/>
    </row>
    <row r="670" spans="2:11" s="2" customFormat="1" x14ac:dyDescent="0.3">
      <c r="B670" s="2" t="s">
        <v>566</v>
      </c>
      <c r="E670" s="15">
        <v>134393</v>
      </c>
      <c r="F670" s="159"/>
      <c r="G670" s="17">
        <f t="shared" si="33"/>
        <v>134393000</v>
      </c>
      <c r="H670" s="33">
        <f>SUM(H671:H672)</f>
        <v>0</v>
      </c>
      <c r="I670" s="54"/>
      <c r="J670" s="54"/>
      <c r="K670" s="49"/>
    </row>
    <row r="671" spans="2:11" x14ac:dyDescent="0.3">
      <c r="C671" t="s">
        <v>567</v>
      </c>
      <c r="E671" s="14">
        <v>2168</v>
      </c>
      <c r="F671" s="163">
        <f>E671*1000</f>
        <v>2168000</v>
      </c>
    </row>
    <row r="672" spans="2:11" s="28" customFormat="1" x14ac:dyDescent="0.3">
      <c r="C672" s="28" t="s">
        <v>568</v>
      </c>
      <c r="E672" s="29">
        <v>132225</v>
      </c>
      <c r="F672" s="163">
        <f>E672*1000</f>
        <v>132225000</v>
      </c>
      <c r="I672" s="54"/>
      <c r="J672" s="54"/>
      <c r="K672" s="47"/>
    </row>
    <row r="673" spans="2:11" x14ac:dyDescent="0.3">
      <c r="G673" s="4"/>
      <c r="H673" s="30"/>
    </row>
    <row r="674" spans="2:11" s="39" customFormat="1" ht="18" x14ac:dyDescent="0.35">
      <c r="B674" s="39" t="s">
        <v>569</v>
      </c>
      <c r="E674" s="40">
        <v>13205943</v>
      </c>
      <c r="F674" s="156">
        <f>G674/$G$141</f>
        <v>0.23992639536577787</v>
      </c>
      <c r="G674" s="41">
        <f t="shared" si="33"/>
        <v>13205943000</v>
      </c>
      <c r="H674" s="42">
        <f>H676+H687+H695+H701+H711+H719+H722+H730+H741+H755+H763+H769</f>
        <v>1485580000</v>
      </c>
      <c r="I674" s="54"/>
      <c r="J674" s="54"/>
      <c r="K674" s="48"/>
    </row>
    <row r="675" spans="2:11" x14ac:dyDescent="0.3">
      <c r="G675" s="4">
        <f>G674/Ihmismäärät!$C$14</f>
        <v>2408.9644290404963</v>
      </c>
      <c r="H675" s="30"/>
    </row>
    <row r="676" spans="2:11" s="2" customFormat="1" x14ac:dyDescent="0.3">
      <c r="B676" s="2" t="s">
        <v>162</v>
      </c>
      <c r="E676" s="15">
        <v>92712</v>
      </c>
      <c r="F676" s="159"/>
      <c r="G676" s="17">
        <f t="shared" si="33"/>
        <v>92712000</v>
      </c>
      <c r="H676" s="33">
        <f>SUM(H677:H685)</f>
        <v>0</v>
      </c>
      <c r="I676" s="54"/>
      <c r="J676" s="54"/>
      <c r="K676" s="49"/>
    </row>
    <row r="677" spans="2:11" x14ac:dyDescent="0.3">
      <c r="C677" t="s">
        <v>570</v>
      </c>
      <c r="E677" s="14">
        <v>28764</v>
      </c>
      <c r="F677" s="163">
        <f t="shared" ref="F677:F685" si="39">E677*1000</f>
        <v>28764000</v>
      </c>
      <c r="H677" s="30"/>
    </row>
    <row r="678" spans="2:11" x14ac:dyDescent="0.3">
      <c r="C678" t="s">
        <v>571</v>
      </c>
      <c r="E678" s="14">
        <v>2835</v>
      </c>
      <c r="F678" s="163">
        <f t="shared" si="39"/>
        <v>2835000</v>
      </c>
      <c r="H678" s="30"/>
    </row>
    <row r="679" spans="2:11" x14ac:dyDescent="0.3">
      <c r="C679" t="s">
        <v>572</v>
      </c>
      <c r="E679" s="14">
        <v>5230</v>
      </c>
      <c r="F679" s="163">
        <f t="shared" si="39"/>
        <v>5230000</v>
      </c>
      <c r="H679" s="30"/>
    </row>
    <row r="680" spans="2:11" x14ac:dyDescent="0.3">
      <c r="C680" t="s">
        <v>573</v>
      </c>
      <c r="E680" s="14">
        <v>576</v>
      </c>
      <c r="F680" s="163">
        <f t="shared" si="39"/>
        <v>576000</v>
      </c>
      <c r="H680" s="30"/>
    </row>
    <row r="681" spans="2:11" x14ac:dyDescent="0.3">
      <c r="C681" t="s">
        <v>574</v>
      </c>
      <c r="E681" s="14">
        <v>1016</v>
      </c>
      <c r="F681" s="163">
        <f t="shared" si="39"/>
        <v>1016000</v>
      </c>
      <c r="H681" s="30"/>
    </row>
    <row r="682" spans="2:11" x14ac:dyDescent="0.3">
      <c r="C682" t="s">
        <v>575</v>
      </c>
      <c r="E682" s="14">
        <v>16522</v>
      </c>
      <c r="F682" s="163">
        <f t="shared" si="39"/>
        <v>16522000</v>
      </c>
      <c r="H682" s="30"/>
    </row>
    <row r="683" spans="2:11" x14ac:dyDescent="0.3">
      <c r="C683" t="s">
        <v>576</v>
      </c>
      <c r="E683" s="14">
        <v>15330</v>
      </c>
      <c r="F683" s="163">
        <f t="shared" si="39"/>
        <v>15330000</v>
      </c>
      <c r="H683" s="30"/>
    </row>
    <row r="684" spans="2:11" s="28" customFormat="1" x14ac:dyDescent="0.3">
      <c r="C684" s="28" t="s">
        <v>577</v>
      </c>
      <c r="E684" s="29">
        <v>18609</v>
      </c>
      <c r="F684" s="163">
        <f t="shared" si="39"/>
        <v>18609000</v>
      </c>
      <c r="H684" s="30"/>
      <c r="I684" s="54"/>
      <c r="J684" s="54"/>
      <c r="K684" s="47"/>
    </row>
    <row r="685" spans="2:11" x14ac:dyDescent="0.3">
      <c r="C685" t="s">
        <v>578</v>
      </c>
      <c r="E685" s="14">
        <v>3830</v>
      </c>
      <c r="F685" s="163">
        <f t="shared" si="39"/>
        <v>3830000</v>
      </c>
      <c r="H685" s="30"/>
    </row>
    <row r="686" spans="2:11" x14ac:dyDescent="0.3">
      <c r="F686" s="163"/>
      <c r="H686" s="30"/>
    </row>
    <row r="687" spans="2:11" s="2" customFormat="1" x14ac:dyDescent="0.3">
      <c r="B687" s="2" t="s">
        <v>579</v>
      </c>
      <c r="E687" s="15">
        <v>64000</v>
      </c>
      <c r="F687" s="159"/>
      <c r="G687" s="17">
        <f t="shared" ref="G687:G755" si="40">E687*1000</f>
        <v>64000000</v>
      </c>
      <c r="H687" s="33">
        <f>SUM(H688:H693)</f>
        <v>1000000</v>
      </c>
      <c r="I687" s="54"/>
      <c r="J687" s="54"/>
      <c r="K687" s="49"/>
    </row>
    <row r="688" spans="2:11" x14ac:dyDescent="0.3">
      <c r="C688" t="s">
        <v>580</v>
      </c>
      <c r="E688" s="14">
        <v>13271</v>
      </c>
      <c r="F688" s="163">
        <f t="shared" ref="F688:F693" si="41">E688*1000</f>
        <v>13271000</v>
      </c>
      <c r="H688" s="30"/>
    </row>
    <row r="689" spans="2:11" x14ac:dyDescent="0.3">
      <c r="C689" t="s">
        <v>581</v>
      </c>
      <c r="E689" s="14">
        <v>11770</v>
      </c>
      <c r="F689" s="163">
        <f t="shared" si="41"/>
        <v>11770000</v>
      </c>
      <c r="H689" s="30"/>
    </row>
    <row r="690" spans="2:11" x14ac:dyDescent="0.3">
      <c r="C690" t="s">
        <v>582</v>
      </c>
      <c r="E690" s="14">
        <v>4062</v>
      </c>
      <c r="F690" s="163">
        <f t="shared" si="41"/>
        <v>4062000</v>
      </c>
      <c r="H690" s="30"/>
    </row>
    <row r="691" spans="2:11" x14ac:dyDescent="0.3">
      <c r="C691" t="s">
        <v>583</v>
      </c>
      <c r="E691" s="14">
        <v>25333</v>
      </c>
      <c r="F691" s="163">
        <f t="shared" si="41"/>
        <v>25333000</v>
      </c>
      <c r="H691" s="30"/>
    </row>
    <row r="692" spans="2:11" x14ac:dyDescent="0.3">
      <c r="C692" t="s">
        <v>584</v>
      </c>
      <c r="E692" s="14">
        <v>8564</v>
      </c>
      <c r="F692" s="163">
        <f t="shared" si="41"/>
        <v>8564000</v>
      </c>
      <c r="H692" s="30"/>
    </row>
    <row r="693" spans="2:11" x14ac:dyDescent="0.3">
      <c r="C693" t="s">
        <v>565</v>
      </c>
      <c r="E693" s="14">
        <v>1000</v>
      </c>
      <c r="F693" s="163">
        <f t="shared" si="41"/>
        <v>1000000</v>
      </c>
      <c r="H693" s="30">
        <f>F693</f>
        <v>1000000</v>
      </c>
    </row>
    <row r="694" spans="2:11" x14ac:dyDescent="0.3">
      <c r="F694" s="163"/>
      <c r="H694" s="30"/>
    </row>
    <row r="695" spans="2:11" s="2" customFormat="1" x14ac:dyDescent="0.3">
      <c r="B695" s="2" t="s">
        <v>585</v>
      </c>
      <c r="E695" s="15">
        <v>123392</v>
      </c>
      <c r="F695" s="159"/>
      <c r="G695" s="17">
        <f t="shared" si="40"/>
        <v>123392000</v>
      </c>
      <c r="H695" s="33">
        <f>SUM(H696:H699)</f>
        <v>0</v>
      </c>
      <c r="I695" s="54"/>
      <c r="J695" s="54"/>
      <c r="K695" s="49"/>
    </row>
    <row r="696" spans="2:11" x14ac:dyDescent="0.3">
      <c r="C696" t="s">
        <v>586</v>
      </c>
      <c r="E696" s="14">
        <v>56305</v>
      </c>
      <c r="F696" s="163">
        <f>E696*1000</f>
        <v>56305000</v>
      </c>
      <c r="H696" s="30"/>
    </row>
    <row r="697" spans="2:11" x14ac:dyDescent="0.3">
      <c r="C697" t="s">
        <v>587</v>
      </c>
      <c r="E697" s="14">
        <v>36300</v>
      </c>
      <c r="F697" s="163">
        <f>E697*1000</f>
        <v>36300000</v>
      </c>
      <c r="H697" s="30"/>
    </row>
    <row r="698" spans="2:11" x14ac:dyDescent="0.3">
      <c r="C698" t="s">
        <v>588</v>
      </c>
      <c r="E698" s="14">
        <v>25280</v>
      </c>
      <c r="F698" s="163">
        <f>E698*1000</f>
        <v>25280000</v>
      </c>
      <c r="H698" s="30"/>
    </row>
    <row r="699" spans="2:11" s="28" customFormat="1" x14ac:dyDescent="0.3">
      <c r="C699" s="28" t="s">
        <v>589</v>
      </c>
      <c r="E699" s="29">
        <v>5507</v>
      </c>
      <c r="F699" s="163">
        <f>E699*1000</f>
        <v>5507000</v>
      </c>
      <c r="H699" s="30"/>
      <c r="I699" s="54"/>
      <c r="J699" s="54"/>
      <c r="K699" s="47"/>
    </row>
    <row r="700" spans="2:11" x14ac:dyDescent="0.3">
      <c r="F700" s="163"/>
      <c r="H700" s="30"/>
    </row>
    <row r="701" spans="2:11" s="2" customFormat="1" x14ac:dyDescent="0.3">
      <c r="B701" s="2" t="s">
        <v>590</v>
      </c>
      <c r="E701" s="15">
        <v>3064301</v>
      </c>
      <c r="F701" s="159"/>
      <c r="G701" s="17">
        <f t="shared" si="40"/>
        <v>3064301000</v>
      </c>
      <c r="H701" s="33">
        <f>SUM(H702:H709)</f>
        <v>1297010000</v>
      </c>
      <c r="I701" s="54"/>
      <c r="J701" s="54"/>
      <c r="K701" s="49"/>
    </row>
    <row r="702" spans="2:11" s="28" customFormat="1" x14ac:dyDescent="0.3">
      <c r="C702" s="28" t="s">
        <v>591</v>
      </c>
      <c r="E702" s="29">
        <v>11300</v>
      </c>
      <c r="F702" s="163">
        <f t="shared" ref="F702:F709" si="42">E702*1000</f>
        <v>11300000</v>
      </c>
      <c r="H702" s="30">
        <f>F702</f>
        <v>11300000</v>
      </c>
      <c r="I702" s="54"/>
      <c r="J702" s="54"/>
      <c r="K702" s="47"/>
    </row>
    <row r="703" spans="2:11" s="28" customFormat="1" x14ac:dyDescent="0.3">
      <c r="C703" s="28" t="s">
        <v>592</v>
      </c>
      <c r="E703" s="29">
        <v>1384610</v>
      </c>
      <c r="F703" s="163">
        <f t="shared" si="42"/>
        <v>1384610000</v>
      </c>
      <c r="H703" s="30"/>
      <c r="I703" s="54"/>
      <c r="J703" s="54"/>
      <c r="K703" s="47"/>
    </row>
    <row r="704" spans="2:11" x14ac:dyDescent="0.3">
      <c r="C704" t="s">
        <v>593</v>
      </c>
      <c r="E704" s="14">
        <v>3300</v>
      </c>
      <c r="F704" s="163">
        <f t="shared" si="42"/>
        <v>3300000</v>
      </c>
      <c r="H704" s="30">
        <f>F704</f>
        <v>3300000</v>
      </c>
    </row>
    <row r="705" spans="2:11" x14ac:dyDescent="0.3">
      <c r="C705" t="s">
        <v>594</v>
      </c>
      <c r="E705" s="14">
        <v>18400</v>
      </c>
      <c r="F705" s="163">
        <f t="shared" si="42"/>
        <v>18400000</v>
      </c>
      <c r="H705" s="30"/>
    </row>
    <row r="706" spans="2:11" x14ac:dyDescent="0.3">
      <c r="C706" t="s">
        <v>595</v>
      </c>
      <c r="E706" s="14">
        <v>1068310</v>
      </c>
      <c r="F706" s="163">
        <f t="shared" si="42"/>
        <v>1068310000</v>
      </c>
      <c r="H706" s="30">
        <f>F706</f>
        <v>1068310000</v>
      </c>
    </row>
    <row r="707" spans="2:11" x14ac:dyDescent="0.3">
      <c r="C707" t="s">
        <v>596</v>
      </c>
      <c r="E707" s="14">
        <v>214100</v>
      </c>
      <c r="F707" s="163">
        <f t="shared" si="42"/>
        <v>214100000</v>
      </c>
      <c r="H707" s="30">
        <f>F707</f>
        <v>214100000</v>
      </c>
    </row>
    <row r="708" spans="2:11" x14ac:dyDescent="0.3">
      <c r="C708" t="s">
        <v>597</v>
      </c>
      <c r="E708" s="14">
        <v>44800</v>
      </c>
      <c r="F708" s="163">
        <f t="shared" si="42"/>
        <v>44800000</v>
      </c>
      <c r="H708" s="30"/>
    </row>
    <row r="709" spans="2:11" s="3" customFormat="1" x14ac:dyDescent="0.3">
      <c r="C709" s="3" t="s">
        <v>598</v>
      </c>
      <c r="E709" s="45">
        <v>319481</v>
      </c>
      <c r="F709" s="163">
        <f t="shared" si="42"/>
        <v>319481000</v>
      </c>
      <c r="H709" s="46"/>
      <c r="I709" s="54"/>
      <c r="J709" s="54"/>
      <c r="K709" s="47"/>
    </row>
    <row r="710" spans="2:11" x14ac:dyDescent="0.3">
      <c r="F710" s="163"/>
      <c r="H710" s="30"/>
    </row>
    <row r="711" spans="2:11" s="2" customFormat="1" x14ac:dyDescent="0.3">
      <c r="B711" s="2" t="s">
        <v>599</v>
      </c>
      <c r="E711" s="15">
        <v>2920184</v>
      </c>
      <c r="F711" s="159"/>
      <c r="G711" s="17">
        <f t="shared" si="40"/>
        <v>2920184000</v>
      </c>
      <c r="H711" s="33">
        <f>SUM(H712:H717)</f>
        <v>0</v>
      </c>
      <c r="I711" s="54"/>
      <c r="J711" s="54"/>
      <c r="K711" s="49"/>
    </row>
    <row r="712" spans="2:11" x14ac:dyDescent="0.3">
      <c r="C712" t="s">
        <v>600</v>
      </c>
      <c r="E712" s="14">
        <v>31784</v>
      </c>
      <c r="F712" s="163">
        <f t="shared" ref="F712:F717" si="43">E712*1000</f>
        <v>31784000</v>
      </c>
      <c r="H712" s="30"/>
    </row>
    <row r="713" spans="2:11" x14ac:dyDescent="0.3">
      <c r="C713" t="s">
        <v>601</v>
      </c>
      <c r="E713" s="14">
        <v>1118600</v>
      </c>
      <c r="F713" s="163">
        <f t="shared" si="43"/>
        <v>1118600000</v>
      </c>
      <c r="H713" s="30"/>
    </row>
    <row r="714" spans="2:11" x14ac:dyDescent="0.3">
      <c r="C714" t="s">
        <v>602</v>
      </c>
      <c r="E714" s="14">
        <v>214000</v>
      </c>
      <c r="F714" s="163">
        <f t="shared" si="43"/>
        <v>214000000</v>
      </c>
      <c r="H714" s="30"/>
    </row>
    <row r="715" spans="2:11" x14ac:dyDescent="0.3">
      <c r="C715" t="s">
        <v>603</v>
      </c>
      <c r="E715" s="14">
        <v>1422800</v>
      </c>
      <c r="F715" s="163">
        <f t="shared" si="43"/>
        <v>1422800000</v>
      </c>
      <c r="H715" s="30"/>
    </row>
    <row r="716" spans="2:11" x14ac:dyDescent="0.3">
      <c r="C716" t="s">
        <v>604</v>
      </c>
      <c r="E716" s="14">
        <v>90000</v>
      </c>
      <c r="F716" s="163">
        <f t="shared" si="43"/>
        <v>90000000</v>
      </c>
      <c r="H716" s="30"/>
    </row>
    <row r="717" spans="2:11" x14ac:dyDescent="0.3">
      <c r="C717" t="s">
        <v>605</v>
      </c>
      <c r="E717" s="14">
        <v>43000</v>
      </c>
      <c r="F717" s="163">
        <f t="shared" si="43"/>
        <v>43000000</v>
      </c>
      <c r="H717" s="30"/>
    </row>
    <row r="718" spans="2:11" x14ac:dyDescent="0.3">
      <c r="F718" s="163"/>
      <c r="H718" s="30"/>
    </row>
    <row r="719" spans="2:11" s="2" customFormat="1" x14ac:dyDescent="0.3">
      <c r="B719" s="2" t="s">
        <v>606</v>
      </c>
      <c r="E719" s="15">
        <v>1175092</v>
      </c>
      <c r="F719" s="158"/>
      <c r="G719" s="17">
        <f>E719*1000</f>
        <v>1175092000</v>
      </c>
      <c r="H719" s="33">
        <f>SUM(H720)</f>
        <v>0</v>
      </c>
      <c r="I719" s="54"/>
      <c r="J719" s="54"/>
      <c r="K719" s="49"/>
    </row>
    <row r="720" spans="2:11" s="28" customFormat="1" x14ac:dyDescent="0.3">
      <c r="C720" s="28" t="s">
        <v>607</v>
      </c>
      <c r="E720" s="29">
        <v>1175092</v>
      </c>
      <c r="F720" s="163">
        <f>E720*1000</f>
        <v>1175092000</v>
      </c>
      <c r="H720" s="30"/>
      <c r="I720" s="54"/>
      <c r="J720" s="54"/>
      <c r="K720" s="47"/>
    </row>
    <row r="721" spans="2:11" x14ac:dyDescent="0.3">
      <c r="G721" s="4"/>
      <c r="H721" s="30"/>
    </row>
    <row r="722" spans="2:11" s="2" customFormat="1" x14ac:dyDescent="0.3">
      <c r="B722" s="2" t="s">
        <v>608</v>
      </c>
      <c r="E722" s="15">
        <v>4475400</v>
      </c>
      <c r="F722" s="159"/>
      <c r="G722" s="17">
        <f t="shared" si="40"/>
        <v>4475400000</v>
      </c>
      <c r="H722" s="33">
        <f>SUM(H723:H728)</f>
        <v>0</v>
      </c>
      <c r="I722" s="54"/>
      <c r="J722" s="54"/>
      <c r="K722" s="49"/>
    </row>
    <row r="723" spans="2:11" s="28" customFormat="1" x14ac:dyDescent="0.3">
      <c r="C723" s="28" t="s">
        <v>609</v>
      </c>
      <c r="E723" s="29">
        <v>59400</v>
      </c>
      <c r="F723" s="163">
        <f t="shared" ref="F723:F728" si="44">E723*1000</f>
        <v>59400000</v>
      </c>
      <c r="H723" s="30"/>
      <c r="I723" s="54"/>
      <c r="J723" s="54"/>
      <c r="K723" s="47"/>
    </row>
    <row r="724" spans="2:11" s="28" customFormat="1" x14ac:dyDescent="0.3">
      <c r="C724" s="28" t="s">
        <v>610</v>
      </c>
      <c r="E724" s="29">
        <v>646300</v>
      </c>
      <c r="F724" s="163">
        <f t="shared" si="44"/>
        <v>646300000</v>
      </c>
      <c r="H724" s="30"/>
      <c r="I724" s="54"/>
      <c r="J724" s="54"/>
      <c r="K724" s="47"/>
    </row>
    <row r="725" spans="2:11" s="28" customFormat="1" x14ac:dyDescent="0.3">
      <c r="C725" s="28" t="s">
        <v>611</v>
      </c>
      <c r="E725" s="29">
        <v>122500</v>
      </c>
      <c r="F725" s="163">
        <f t="shared" si="44"/>
        <v>122500000</v>
      </c>
      <c r="H725" s="30"/>
      <c r="I725" s="54"/>
      <c r="J725" s="54"/>
      <c r="K725" s="47"/>
    </row>
    <row r="726" spans="2:11" s="28" customFormat="1" x14ac:dyDescent="0.3">
      <c r="C726" s="28" t="s">
        <v>612</v>
      </c>
      <c r="E726" s="29">
        <v>5500</v>
      </c>
      <c r="F726" s="163">
        <f t="shared" si="44"/>
        <v>5500000</v>
      </c>
      <c r="H726" s="30"/>
      <c r="I726" s="54"/>
      <c r="J726" s="54"/>
      <c r="K726" s="47"/>
    </row>
    <row r="727" spans="2:11" s="28" customFormat="1" x14ac:dyDescent="0.3">
      <c r="C727" s="28" t="s">
        <v>613</v>
      </c>
      <c r="E727" s="29">
        <v>15000</v>
      </c>
      <c r="F727" s="163">
        <f t="shared" si="44"/>
        <v>15000000</v>
      </c>
      <c r="H727" s="30"/>
      <c r="I727" s="54"/>
      <c r="J727" s="54"/>
      <c r="K727" s="47"/>
    </row>
    <row r="728" spans="2:11" s="28" customFormat="1" x14ac:dyDescent="0.3">
      <c r="C728" s="28" t="s">
        <v>614</v>
      </c>
      <c r="E728" s="29">
        <v>3626700</v>
      </c>
      <c r="F728" s="163">
        <f t="shared" si="44"/>
        <v>3626700000</v>
      </c>
      <c r="H728" s="30"/>
      <c r="I728" s="54"/>
      <c r="J728" s="54"/>
      <c r="K728" s="47"/>
    </row>
    <row r="729" spans="2:11" x14ac:dyDescent="0.3">
      <c r="G729" s="4"/>
      <c r="H729" s="30"/>
    </row>
    <row r="730" spans="2:11" s="2" customFormat="1" x14ac:dyDescent="0.3">
      <c r="B730" s="2" t="s">
        <v>615</v>
      </c>
      <c r="E730" s="15">
        <v>228865</v>
      </c>
      <c r="F730" s="159"/>
      <c r="G730" s="17">
        <f t="shared" si="40"/>
        <v>228865000</v>
      </c>
      <c r="H730" s="33">
        <f>SUM(H731:H739)</f>
        <v>0</v>
      </c>
      <c r="I730" s="54"/>
      <c r="J730" s="54"/>
      <c r="K730" s="49"/>
    </row>
    <row r="731" spans="2:11" x14ac:dyDescent="0.3">
      <c r="C731" t="s">
        <v>616</v>
      </c>
      <c r="E731" s="14">
        <v>1450</v>
      </c>
      <c r="F731" s="163">
        <f t="shared" ref="F731:F739" si="45">E731*1000</f>
        <v>1450000</v>
      </c>
      <c r="H731" s="30"/>
    </row>
    <row r="732" spans="2:11" x14ac:dyDescent="0.3">
      <c r="C732" t="s">
        <v>617</v>
      </c>
      <c r="E732" s="14">
        <v>20460</v>
      </c>
      <c r="F732" s="163">
        <f t="shared" si="45"/>
        <v>20460000</v>
      </c>
      <c r="H732" s="30"/>
    </row>
    <row r="733" spans="2:11" x14ac:dyDescent="0.3">
      <c r="C733" t="s">
        <v>618</v>
      </c>
      <c r="E733" s="14">
        <v>110904</v>
      </c>
      <c r="F733" s="163">
        <f t="shared" si="45"/>
        <v>110904000</v>
      </c>
      <c r="H733" s="30"/>
    </row>
    <row r="734" spans="2:11" x14ac:dyDescent="0.3">
      <c r="C734" t="s">
        <v>619</v>
      </c>
      <c r="E734" s="14">
        <v>60000</v>
      </c>
      <c r="F734" s="163">
        <f t="shared" si="45"/>
        <v>60000000</v>
      </c>
      <c r="H734" s="30"/>
    </row>
    <row r="735" spans="2:11" x14ac:dyDescent="0.3">
      <c r="C735" t="s">
        <v>620</v>
      </c>
      <c r="E735" s="14">
        <v>3100</v>
      </c>
      <c r="F735" s="163">
        <f t="shared" si="45"/>
        <v>3100000</v>
      </c>
      <c r="H735" s="30"/>
    </row>
    <row r="736" spans="2:11" x14ac:dyDescent="0.3">
      <c r="C736" t="s">
        <v>621</v>
      </c>
      <c r="E736" s="14">
        <v>55</v>
      </c>
      <c r="F736" s="163">
        <f t="shared" si="45"/>
        <v>55000</v>
      </c>
      <c r="H736" s="30"/>
    </row>
    <row r="737" spans="2:11" x14ac:dyDescent="0.3">
      <c r="C737" t="s">
        <v>622</v>
      </c>
      <c r="E737" s="14">
        <v>3500</v>
      </c>
      <c r="F737" s="163">
        <f t="shared" si="45"/>
        <v>3500000</v>
      </c>
      <c r="H737" s="30"/>
    </row>
    <row r="738" spans="2:11" x14ac:dyDescent="0.3">
      <c r="C738" t="s">
        <v>623</v>
      </c>
      <c r="E738" s="14">
        <v>17988</v>
      </c>
      <c r="F738" s="163">
        <f t="shared" si="45"/>
        <v>17988000</v>
      </c>
      <c r="H738" s="30"/>
    </row>
    <row r="739" spans="2:11" x14ac:dyDescent="0.3">
      <c r="C739" t="s">
        <v>624</v>
      </c>
      <c r="E739" s="14">
        <v>11408</v>
      </c>
      <c r="F739" s="163">
        <f t="shared" si="45"/>
        <v>11408000</v>
      </c>
      <c r="H739" s="30"/>
    </row>
    <row r="740" spans="2:11" x14ac:dyDescent="0.3">
      <c r="G740" s="4"/>
      <c r="H740" s="30"/>
    </row>
    <row r="741" spans="2:11" s="35" customFormat="1" x14ac:dyDescent="0.3">
      <c r="B741" s="35" t="s">
        <v>625</v>
      </c>
      <c r="E741" s="36">
        <v>534637</v>
      </c>
      <c r="F741" s="169"/>
      <c r="G741" s="37">
        <f t="shared" si="40"/>
        <v>534637000</v>
      </c>
      <c r="H741" s="38">
        <f>SUM(H742:H753)</f>
        <v>0</v>
      </c>
      <c r="I741" s="54"/>
      <c r="J741" s="54"/>
      <c r="K741" s="52"/>
    </row>
    <row r="742" spans="2:11" x14ac:dyDescent="0.3">
      <c r="C742" t="s">
        <v>626</v>
      </c>
      <c r="E742" s="14">
        <v>500</v>
      </c>
      <c r="F742" s="163">
        <f t="shared" ref="F742:F753" si="46">E742*1000</f>
        <v>500000</v>
      </c>
      <c r="H742" s="30"/>
    </row>
    <row r="743" spans="2:11" x14ac:dyDescent="0.3">
      <c r="C743" t="s">
        <v>627</v>
      </c>
      <c r="E743" s="14">
        <v>2200</v>
      </c>
      <c r="F743" s="163">
        <f t="shared" si="46"/>
        <v>2200000</v>
      </c>
      <c r="H743" s="30"/>
    </row>
    <row r="744" spans="2:11" x14ac:dyDescent="0.3">
      <c r="C744" t="s">
        <v>628</v>
      </c>
      <c r="E744" s="14">
        <v>18000</v>
      </c>
      <c r="F744" s="163">
        <f t="shared" si="46"/>
        <v>18000000</v>
      </c>
      <c r="H744" s="30"/>
    </row>
    <row r="745" spans="2:11" x14ac:dyDescent="0.3">
      <c r="C745" t="s">
        <v>629</v>
      </c>
      <c r="E745" s="14">
        <v>92570</v>
      </c>
      <c r="F745" s="163">
        <f t="shared" si="46"/>
        <v>92570000</v>
      </c>
      <c r="H745" s="30"/>
    </row>
    <row r="746" spans="2:11" x14ac:dyDescent="0.3">
      <c r="C746" t="s">
        <v>630</v>
      </c>
      <c r="E746" s="14">
        <v>15200</v>
      </c>
      <c r="F746" s="163">
        <f t="shared" si="46"/>
        <v>15200000</v>
      </c>
      <c r="H746" s="30"/>
    </row>
    <row r="747" spans="2:11" x14ac:dyDescent="0.3">
      <c r="C747" t="s">
        <v>631</v>
      </c>
      <c r="E747" s="14">
        <v>330847</v>
      </c>
      <c r="F747" s="163">
        <f t="shared" si="46"/>
        <v>330847000</v>
      </c>
      <c r="H747" s="30"/>
    </row>
    <row r="748" spans="2:11" x14ac:dyDescent="0.3">
      <c r="C748" t="s">
        <v>632</v>
      </c>
      <c r="E748" s="14">
        <v>480</v>
      </c>
      <c r="F748" s="163">
        <f t="shared" si="46"/>
        <v>480000</v>
      </c>
      <c r="H748" s="30"/>
    </row>
    <row r="749" spans="2:11" x14ac:dyDescent="0.3">
      <c r="C749" t="s">
        <v>633</v>
      </c>
      <c r="E749" s="14">
        <v>28990</v>
      </c>
      <c r="F749" s="163">
        <f t="shared" si="46"/>
        <v>28990000</v>
      </c>
      <c r="H749" s="30"/>
    </row>
    <row r="750" spans="2:11" x14ac:dyDescent="0.3">
      <c r="C750" t="s">
        <v>634</v>
      </c>
      <c r="E750" s="14">
        <v>25000</v>
      </c>
      <c r="F750" s="163">
        <f t="shared" si="46"/>
        <v>25000000</v>
      </c>
      <c r="H750" s="30"/>
    </row>
    <row r="751" spans="2:11" x14ac:dyDescent="0.3">
      <c r="C751" t="s">
        <v>635</v>
      </c>
      <c r="E751" s="14">
        <v>11550</v>
      </c>
      <c r="F751" s="163">
        <f t="shared" si="46"/>
        <v>11550000</v>
      </c>
      <c r="H751" s="30"/>
    </row>
    <row r="752" spans="2:11" x14ac:dyDescent="0.3">
      <c r="C752" t="s">
        <v>636</v>
      </c>
      <c r="E752" s="14">
        <v>3000</v>
      </c>
      <c r="F752" s="163">
        <f t="shared" si="46"/>
        <v>3000000</v>
      </c>
      <c r="H752" s="30"/>
    </row>
    <row r="753" spans="2:11" x14ac:dyDescent="0.3">
      <c r="C753" t="s">
        <v>637</v>
      </c>
      <c r="E753" s="14">
        <v>6300</v>
      </c>
      <c r="F753" s="163">
        <f t="shared" si="46"/>
        <v>6300000</v>
      </c>
      <c r="H753" s="30"/>
    </row>
    <row r="754" spans="2:11" x14ac:dyDescent="0.3">
      <c r="F754" s="163"/>
      <c r="H754" s="30"/>
    </row>
    <row r="755" spans="2:11" s="2" customFormat="1" x14ac:dyDescent="0.3">
      <c r="B755" s="2" t="s">
        <v>638</v>
      </c>
      <c r="E755" s="15">
        <v>25420</v>
      </c>
      <c r="F755" s="159"/>
      <c r="G755" s="17">
        <f t="shared" si="40"/>
        <v>25420000</v>
      </c>
      <c r="H755" s="33">
        <f>SUM(H756:H761)</f>
        <v>930000</v>
      </c>
      <c r="I755" s="54"/>
      <c r="J755" s="54"/>
      <c r="K755" s="49"/>
    </row>
    <row r="756" spans="2:11" x14ac:dyDescent="0.3">
      <c r="C756" t="s">
        <v>639</v>
      </c>
      <c r="E756" s="14">
        <v>18790</v>
      </c>
      <c r="F756" s="163">
        <f t="shared" ref="F756:F761" si="47">E756*1000</f>
        <v>18790000</v>
      </c>
      <c r="H756" s="30"/>
    </row>
    <row r="757" spans="2:11" x14ac:dyDescent="0.3">
      <c r="C757" t="s">
        <v>640</v>
      </c>
      <c r="E757" s="14">
        <v>780</v>
      </c>
      <c r="F757" s="163">
        <f t="shared" si="47"/>
        <v>780000</v>
      </c>
      <c r="H757" s="30"/>
    </row>
    <row r="758" spans="2:11" x14ac:dyDescent="0.3">
      <c r="C758" t="s">
        <v>641</v>
      </c>
      <c r="E758" s="14">
        <v>590</v>
      </c>
      <c r="F758" s="163">
        <f t="shared" si="47"/>
        <v>590000</v>
      </c>
      <c r="H758" s="30"/>
    </row>
    <row r="759" spans="2:11" x14ac:dyDescent="0.3">
      <c r="C759" t="s">
        <v>642</v>
      </c>
      <c r="E759" s="14">
        <v>2430</v>
      </c>
      <c r="F759" s="163">
        <f t="shared" si="47"/>
        <v>2430000</v>
      </c>
      <c r="H759" s="30"/>
    </row>
    <row r="760" spans="2:11" s="28" customFormat="1" x14ac:dyDescent="0.3">
      <c r="C760" s="28" t="s">
        <v>643</v>
      </c>
      <c r="E760" s="29">
        <v>1900</v>
      </c>
      <c r="F760" s="163">
        <f t="shared" si="47"/>
        <v>1900000</v>
      </c>
      <c r="H760" s="30"/>
      <c r="I760" s="54"/>
      <c r="J760" s="54"/>
      <c r="K760" s="47"/>
    </row>
    <row r="761" spans="2:11" x14ac:dyDescent="0.3">
      <c r="C761" t="s">
        <v>644</v>
      </c>
      <c r="E761" s="14">
        <v>930</v>
      </c>
      <c r="F761" s="163">
        <f t="shared" si="47"/>
        <v>930000</v>
      </c>
      <c r="H761" s="30">
        <f>F761</f>
        <v>930000</v>
      </c>
    </row>
    <row r="762" spans="2:11" x14ac:dyDescent="0.3">
      <c r="G762" s="4"/>
      <c r="H762" s="30"/>
    </row>
    <row r="763" spans="2:11" s="2" customFormat="1" x14ac:dyDescent="0.3">
      <c r="B763" s="2" t="s">
        <v>645</v>
      </c>
      <c r="E763" s="15">
        <v>186640</v>
      </c>
      <c r="F763" s="159"/>
      <c r="G763" s="17">
        <f t="shared" ref="G763:G800" si="48">E763*1000</f>
        <v>186640000</v>
      </c>
      <c r="H763" s="33">
        <f>SUM(H764:H767)</f>
        <v>186640000</v>
      </c>
      <c r="I763" s="54"/>
      <c r="J763" s="54"/>
      <c r="K763" s="49"/>
    </row>
    <row r="764" spans="2:11" x14ac:dyDescent="0.3">
      <c r="C764" t="s">
        <v>646</v>
      </c>
      <c r="E764" s="14">
        <v>168600</v>
      </c>
      <c r="F764" s="163">
        <f>E764*1000</f>
        <v>168600000</v>
      </c>
      <c r="H764" s="30">
        <f>F764</f>
        <v>168600000</v>
      </c>
    </row>
    <row r="765" spans="2:11" x14ac:dyDescent="0.3">
      <c r="C765" t="s">
        <v>647</v>
      </c>
      <c r="E765" s="14">
        <v>2600</v>
      </c>
      <c r="F765" s="163">
        <f>E765*1000</f>
        <v>2600000</v>
      </c>
      <c r="H765" s="30">
        <f t="shared" ref="H765:H767" si="49">F765</f>
        <v>2600000</v>
      </c>
    </row>
    <row r="766" spans="2:11" x14ac:dyDescent="0.3">
      <c r="C766" t="s">
        <v>648</v>
      </c>
      <c r="E766" s="14">
        <v>300</v>
      </c>
      <c r="F766" s="163">
        <f>E766*1000</f>
        <v>300000</v>
      </c>
      <c r="H766" s="30">
        <f t="shared" si="49"/>
        <v>300000</v>
      </c>
    </row>
    <row r="767" spans="2:11" x14ac:dyDescent="0.3">
      <c r="C767" t="s">
        <v>649</v>
      </c>
      <c r="E767" s="14">
        <v>15140</v>
      </c>
      <c r="F767" s="163">
        <f>E767*1000</f>
        <v>15140000</v>
      </c>
      <c r="H767" s="30">
        <f t="shared" si="49"/>
        <v>15140000</v>
      </c>
    </row>
    <row r="768" spans="2:11" x14ac:dyDescent="0.3">
      <c r="F768" s="163"/>
      <c r="H768" s="30"/>
    </row>
    <row r="769" spans="2:11" s="2" customFormat="1" x14ac:dyDescent="0.3">
      <c r="B769" s="2" t="s">
        <v>650</v>
      </c>
      <c r="E769" s="15">
        <v>315300</v>
      </c>
      <c r="F769" s="159"/>
      <c r="G769" s="17">
        <f t="shared" si="48"/>
        <v>315300000</v>
      </c>
      <c r="H769" s="33">
        <f>SUM(H770)</f>
        <v>0</v>
      </c>
      <c r="I769" s="54"/>
      <c r="J769" s="54"/>
      <c r="K769" s="49"/>
    </row>
    <row r="770" spans="2:11" x14ac:dyDescent="0.3">
      <c r="C770" t="s">
        <v>651</v>
      </c>
      <c r="E770" s="14">
        <v>315300</v>
      </c>
      <c r="F770" s="163">
        <f>E770*1000</f>
        <v>315300000</v>
      </c>
      <c r="H770" s="30"/>
    </row>
    <row r="771" spans="2:11" x14ac:dyDescent="0.3">
      <c r="G771" s="4"/>
      <c r="H771" s="30"/>
    </row>
    <row r="772" spans="2:11" s="39" customFormat="1" ht="18" x14ac:dyDescent="0.35">
      <c r="B772" s="39" t="s">
        <v>652</v>
      </c>
      <c r="E772" s="40">
        <v>204240</v>
      </c>
      <c r="F772" s="156">
        <f>G772/$G$141</f>
        <v>3.7106450474234574E-3</v>
      </c>
      <c r="G772" s="41">
        <f t="shared" si="48"/>
        <v>204240000</v>
      </c>
      <c r="H772" s="42">
        <f>H774+H780+H793</f>
        <v>19999000</v>
      </c>
      <c r="I772" s="54"/>
      <c r="J772" s="54"/>
      <c r="K772" s="48"/>
    </row>
    <row r="773" spans="2:11" x14ac:dyDescent="0.3">
      <c r="G773" s="4">
        <f>G772/Ihmismäärät!$C$14</f>
        <v>37.256475738781468</v>
      </c>
      <c r="H773" s="30"/>
    </row>
    <row r="774" spans="2:11" s="2" customFormat="1" x14ac:dyDescent="0.3">
      <c r="B774" s="2" t="s">
        <v>653</v>
      </c>
      <c r="E774" s="15">
        <v>66916</v>
      </c>
      <c r="F774" s="159"/>
      <c r="G774" s="17">
        <f>E774*1000</f>
        <v>66916000</v>
      </c>
      <c r="H774" s="33">
        <f>SUM(H775:H778)</f>
        <v>1734000</v>
      </c>
      <c r="I774" s="54"/>
      <c r="J774" s="54"/>
      <c r="K774" s="51"/>
    </row>
    <row r="775" spans="2:11" x14ac:dyDescent="0.3">
      <c r="C775" t="s">
        <v>654</v>
      </c>
      <c r="E775" s="14">
        <v>28397</v>
      </c>
      <c r="F775" s="163">
        <f>E775*1000</f>
        <v>28397000</v>
      </c>
      <c r="H775" s="30"/>
    </row>
    <row r="776" spans="2:11" x14ac:dyDescent="0.3">
      <c r="C776" t="s">
        <v>655</v>
      </c>
      <c r="E776" s="14">
        <v>29815</v>
      </c>
      <c r="F776" s="163">
        <f>E776*1000</f>
        <v>29815000</v>
      </c>
      <c r="H776" s="30"/>
    </row>
    <row r="777" spans="2:11" x14ac:dyDescent="0.3">
      <c r="C777" t="s">
        <v>656</v>
      </c>
      <c r="E777" s="14">
        <v>6970</v>
      </c>
      <c r="F777" s="163">
        <f>E777*1000</f>
        <v>6970000</v>
      </c>
      <c r="H777" s="30"/>
    </row>
    <row r="778" spans="2:11" x14ac:dyDescent="0.3">
      <c r="C778" t="s">
        <v>657</v>
      </c>
      <c r="E778" s="14">
        <v>1734</v>
      </c>
      <c r="F778" s="163">
        <f>E778*1000</f>
        <v>1734000</v>
      </c>
      <c r="H778" s="30">
        <f>F778</f>
        <v>1734000</v>
      </c>
    </row>
    <row r="779" spans="2:11" x14ac:dyDescent="0.3">
      <c r="F779" s="163"/>
      <c r="H779" s="30"/>
    </row>
    <row r="780" spans="2:11" s="2" customFormat="1" x14ac:dyDescent="0.3">
      <c r="B780" s="2" t="s">
        <v>658</v>
      </c>
      <c r="E780" s="15">
        <v>111293</v>
      </c>
      <c r="F780" s="159"/>
      <c r="G780" s="17">
        <f>E780*1000</f>
        <v>111293000</v>
      </c>
      <c r="H780" s="33">
        <f>SUM(H781:H791)</f>
        <v>18265000</v>
      </c>
      <c r="I780" s="54"/>
      <c r="J780" s="54"/>
      <c r="K780" s="49"/>
    </row>
    <row r="781" spans="2:11" x14ac:dyDescent="0.3">
      <c r="C781" t="s">
        <v>659</v>
      </c>
      <c r="E781" s="14">
        <v>6420</v>
      </c>
      <c r="F781" s="163">
        <f t="shared" ref="F781:F791" si="50">E781*1000</f>
        <v>6420000</v>
      </c>
      <c r="H781" s="30"/>
    </row>
    <row r="782" spans="2:11" x14ac:dyDescent="0.3">
      <c r="C782" t="s">
        <v>660</v>
      </c>
      <c r="E782" s="14">
        <v>2440</v>
      </c>
      <c r="F782" s="163">
        <f t="shared" si="50"/>
        <v>2440000</v>
      </c>
      <c r="H782" s="30">
        <f>F782</f>
        <v>2440000</v>
      </c>
    </row>
    <row r="783" spans="2:11" x14ac:dyDescent="0.3">
      <c r="C783" t="s">
        <v>661</v>
      </c>
      <c r="E783" s="14">
        <v>15825</v>
      </c>
      <c r="F783" s="163">
        <f t="shared" si="50"/>
        <v>15825000</v>
      </c>
      <c r="H783" s="30">
        <f>F783</f>
        <v>15825000</v>
      </c>
    </row>
    <row r="784" spans="2:11" x14ac:dyDescent="0.3">
      <c r="C784" t="s">
        <v>662</v>
      </c>
      <c r="E784" s="14">
        <v>39616</v>
      </c>
      <c r="F784" s="163">
        <f t="shared" si="50"/>
        <v>39616000</v>
      </c>
      <c r="H784" s="30"/>
    </row>
    <row r="785" spans="2:11" x14ac:dyDescent="0.3">
      <c r="C785" t="s">
        <v>663</v>
      </c>
      <c r="E785" s="14">
        <v>3000</v>
      </c>
      <c r="F785" s="163">
        <f t="shared" si="50"/>
        <v>3000000</v>
      </c>
      <c r="H785" s="30"/>
    </row>
    <row r="786" spans="2:11" x14ac:dyDescent="0.3">
      <c r="C786" t="s">
        <v>664</v>
      </c>
      <c r="E786" s="14">
        <v>11072</v>
      </c>
      <c r="F786" s="163">
        <f t="shared" si="50"/>
        <v>11072000</v>
      </c>
      <c r="H786" s="30"/>
    </row>
    <row r="787" spans="2:11" x14ac:dyDescent="0.3">
      <c r="C787" t="s">
        <v>665</v>
      </c>
      <c r="E787" s="14">
        <v>18480</v>
      </c>
      <c r="F787" s="163">
        <f t="shared" si="50"/>
        <v>18480000</v>
      </c>
      <c r="H787" s="30"/>
    </row>
    <row r="788" spans="2:11" x14ac:dyDescent="0.3">
      <c r="C788" s="19" t="s">
        <v>666</v>
      </c>
      <c r="D788" s="19"/>
      <c r="E788" s="20">
        <v>4500</v>
      </c>
      <c r="F788" s="166">
        <f t="shared" si="50"/>
        <v>4500000</v>
      </c>
      <c r="H788"/>
    </row>
    <row r="789" spans="2:11" x14ac:dyDescent="0.3">
      <c r="C789" t="s">
        <v>667</v>
      </c>
      <c r="E789" s="14">
        <v>1000</v>
      </c>
      <c r="F789" s="163">
        <f t="shared" si="50"/>
        <v>1000000</v>
      </c>
      <c r="H789" s="30"/>
    </row>
    <row r="790" spans="2:11" x14ac:dyDescent="0.3">
      <c r="C790" t="s">
        <v>668</v>
      </c>
      <c r="E790" s="14">
        <v>1440</v>
      </c>
      <c r="F790" s="163">
        <f t="shared" si="50"/>
        <v>1440000</v>
      </c>
      <c r="H790" s="30"/>
    </row>
    <row r="791" spans="2:11" x14ac:dyDescent="0.3">
      <c r="C791" t="s">
        <v>669</v>
      </c>
      <c r="E791" s="14">
        <v>7500</v>
      </c>
      <c r="F791" s="163">
        <f t="shared" si="50"/>
        <v>7500000</v>
      </c>
      <c r="H791" s="30"/>
    </row>
    <row r="792" spans="2:11" x14ac:dyDescent="0.3">
      <c r="G792" s="4"/>
      <c r="H792" s="30"/>
    </row>
    <row r="793" spans="2:11" s="2" customFormat="1" x14ac:dyDescent="0.3">
      <c r="B793" s="2" t="s">
        <v>670</v>
      </c>
      <c r="E793" s="15">
        <v>26031</v>
      </c>
      <c r="F793" s="159"/>
      <c r="G793" s="17">
        <f t="shared" si="48"/>
        <v>26031000</v>
      </c>
      <c r="H793" s="33">
        <f>SUM(H794:H798)</f>
        <v>0</v>
      </c>
      <c r="I793" s="54"/>
      <c r="J793" s="54"/>
      <c r="K793" s="49"/>
    </row>
    <row r="794" spans="2:11" x14ac:dyDescent="0.3">
      <c r="C794" t="s">
        <v>671</v>
      </c>
      <c r="E794" s="14">
        <v>4931</v>
      </c>
      <c r="F794" s="163">
        <f>E794*1000</f>
        <v>4931000</v>
      </c>
      <c r="H794" s="30"/>
    </row>
    <row r="795" spans="2:11" x14ac:dyDescent="0.3">
      <c r="C795" t="s">
        <v>672</v>
      </c>
      <c r="E795" s="14">
        <v>250</v>
      </c>
      <c r="F795" s="163">
        <f>E795*1000</f>
        <v>250000</v>
      </c>
      <c r="H795" s="30"/>
    </row>
    <row r="796" spans="2:11" x14ac:dyDescent="0.3">
      <c r="C796" t="s">
        <v>673</v>
      </c>
      <c r="E796" s="14">
        <v>20000</v>
      </c>
      <c r="F796" s="163">
        <f>E796*1000</f>
        <v>20000000</v>
      </c>
      <c r="H796" s="30"/>
    </row>
    <row r="797" spans="2:11" x14ac:dyDescent="0.3">
      <c r="C797" t="s">
        <v>674</v>
      </c>
      <c r="E797" s="14">
        <v>0</v>
      </c>
      <c r="F797" s="163">
        <f>E797*1000</f>
        <v>0</v>
      </c>
      <c r="H797" s="30"/>
    </row>
    <row r="798" spans="2:11" x14ac:dyDescent="0.3">
      <c r="C798" t="s">
        <v>675</v>
      </c>
      <c r="E798" s="14">
        <v>850</v>
      </c>
      <c r="F798" s="163">
        <f>E798*1000</f>
        <v>850000</v>
      </c>
      <c r="H798" s="30"/>
    </row>
    <row r="799" spans="2:11" x14ac:dyDescent="0.3">
      <c r="G799" s="4"/>
      <c r="H799" s="30"/>
    </row>
    <row r="800" spans="2:11" s="39" customFormat="1" ht="18" x14ac:dyDescent="0.35">
      <c r="B800" s="39" t="s">
        <v>676</v>
      </c>
      <c r="E800" s="40">
        <v>1548100</v>
      </c>
      <c r="F800" s="156">
        <f>G800/$G$141</f>
        <v>2.8125977271427016E-2</v>
      </c>
      <c r="G800" s="41">
        <f t="shared" si="48"/>
        <v>1548100000</v>
      </c>
      <c r="H800" s="42">
        <f>SUM(H801:H804)</f>
        <v>0</v>
      </c>
      <c r="I800" s="54"/>
      <c r="J800" s="54"/>
      <c r="K800" s="48"/>
    </row>
    <row r="801" spans="3:11" x14ac:dyDescent="0.3">
      <c r="C801" t="s">
        <v>677</v>
      </c>
      <c r="E801" s="14">
        <v>1511000</v>
      </c>
      <c r="F801" s="163">
        <f>E801*1000</f>
        <v>1511000000</v>
      </c>
      <c r="G801" s="4">
        <f>G800/Ihmismäärät!$C$14</f>
        <v>282.39693542502738</v>
      </c>
      <c r="H801" s="30"/>
    </row>
    <row r="802" spans="3:11" s="26" customFormat="1" x14ac:dyDescent="0.3">
      <c r="C802" s="26" t="s">
        <v>678</v>
      </c>
      <c r="E802" s="27">
        <v>1511000</v>
      </c>
      <c r="F802" s="163">
        <f>E802*1000</f>
        <v>1511000000</v>
      </c>
      <c r="H802" s="30"/>
      <c r="I802" s="54"/>
      <c r="J802" s="54"/>
      <c r="K802" s="47"/>
    </row>
    <row r="803" spans="3:11" x14ac:dyDescent="0.3">
      <c r="C803" t="s">
        <v>679</v>
      </c>
      <c r="E803" s="14">
        <v>37100</v>
      </c>
      <c r="F803" s="163">
        <f>E803*1000</f>
        <v>37100000</v>
      </c>
      <c r="H803" s="30"/>
    </row>
    <row r="804" spans="3:11" s="26" customFormat="1" x14ac:dyDescent="0.3">
      <c r="C804" s="26" t="s">
        <v>680</v>
      </c>
      <c r="E804" s="27">
        <v>37100</v>
      </c>
      <c r="F804" s="163">
        <f>E804*1000</f>
        <v>37100000</v>
      </c>
      <c r="H804" s="30"/>
      <c r="I804" s="54"/>
      <c r="J804" s="54"/>
      <c r="K804" s="47"/>
    </row>
    <row r="805" spans="3:11" s="26" customFormat="1" x14ac:dyDescent="0.3">
      <c r="E805" s="27"/>
      <c r="F805" s="163"/>
      <c r="H805" s="30"/>
      <c r="I805" s="54"/>
      <c r="J805" s="54"/>
      <c r="K805" s="47"/>
    </row>
  </sheetData>
  <hyperlinks>
    <hyperlink ref="B21" r:id="rId1" display="http://budjetti.vm.fi/indox/sisalto.jsp?year=2016&amp;lang=fi&amp;maindoc=/2016/aky/aky.xml&amp;id=/2016/aky/YksityiskohtaisetPerustelut/11/11.html" xr:uid="{00000000-0004-0000-0600-000000000000}"/>
    <hyperlink ref="B22" r:id="rId2" display="http://budjetti.vm.fi/indox/sisalto.jsp?year=2016&amp;lang=fi&amp;maindoc=/2016/aky/aky.xml&amp;id=/2016/aky/YksityiskohtaisetPerustelut/11/01/01.html" xr:uid="{00000000-0004-0000-0600-000001000000}"/>
    <hyperlink ref="C23" r:id="rId3" display="http://budjetti.vm.fi/indox/sisalto.jsp?year=2016&amp;lang=fi&amp;maindoc=/2016/aky/aky.xml&amp;id=/2016/aky/YksityiskohtaisetPerustelut/11/01/01/01.html" xr:uid="{00000000-0004-0000-0600-000002000000}"/>
    <hyperlink ref="C24" r:id="rId4" display="http://budjetti.vm.fi/indox/sisalto.jsp?year=2016&amp;lang=fi&amp;maindoc=/2016/aky/aky.xml&amp;id=/2016/aky/YksityiskohtaisetPerustelut/11/01/02/02.html" xr:uid="{00000000-0004-0000-0600-000003000000}"/>
    <hyperlink ref="C25" r:id="rId5" display="http://budjetti.vm.fi/indox/sisalto.jsp?year=2016&amp;lang=fi&amp;maindoc=/2016/aky/aky.xml&amp;id=/2016/aky/YksityiskohtaisetPerustelut/11/01/03/03.html" xr:uid="{00000000-0004-0000-0600-000004000000}"/>
    <hyperlink ref="C26" r:id="rId6" display="http://budjetti.vm.fi/indox/sisalto.jsp?year=2016&amp;lang=fi&amp;maindoc=/2016/aky/aky.xml&amp;id=/2016/aky/YksityiskohtaisetPerustelut/11/01/04/04.html" xr:uid="{00000000-0004-0000-0600-000005000000}"/>
    <hyperlink ref="B27" r:id="rId7" display="http://budjetti.vm.fi/indox/sisalto.jsp?year=2016&amp;lang=fi&amp;maindoc=/2016/aky/aky.xml&amp;id=/2016/aky/YksityiskohtaisetPerustelut/11/04/04.html" xr:uid="{00000000-0004-0000-0600-000006000000}"/>
    <hyperlink ref="C28" r:id="rId8" display="http://budjetti.vm.fi/indox/sisalto.jsp?year=2016&amp;lang=fi&amp;maindoc=/2016/aky/aky.xml&amp;id=/2016/aky/YksityiskohtaisetPerustelut/11/04/01/01.html" xr:uid="{00000000-0004-0000-0600-000007000000}"/>
    <hyperlink ref="C29" r:id="rId9" display="http://budjetti.vm.fi/indox/sisalto.jsp?year=2016&amp;lang=fi&amp;maindoc=/2016/aky/aky.xml&amp;id=/2016/aky/YksityiskohtaisetPerustelut/11/04/02/02.html" xr:uid="{00000000-0004-0000-0600-000008000000}"/>
    <hyperlink ref="C30" r:id="rId10" display="http://budjetti.vm.fi/indox/sisalto.jsp?year=2016&amp;lang=fi&amp;maindoc=/2016/aky/aky.xml&amp;id=/2016/aky/YksityiskohtaisetPerustelut/11/04/03/03.html" xr:uid="{00000000-0004-0000-0600-000009000000}"/>
    <hyperlink ref="B31" r:id="rId11" display="http://budjetti.vm.fi/indox/sisalto.jsp?year=2016&amp;lang=fi&amp;maindoc=/2016/aky/aky.xml&amp;id=/2016/aky/YksityiskohtaisetPerustelut/11/08/08.html" xr:uid="{00000000-0004-0000-0600-00000A000000}"/>
    <hyperlink ref="C32" r:id="rId12" display="http://budjetti.vm.fi/indox/sisalto.jsp?year=2016&amp;lang=fi&amp;maindoc=/2016/aky/aky.xml&amp;id=/2016/aky/YksityiskohtaisetPerustelut/11/08/01/01.html" xr:uid="{00000000-0004-0000-0600-00000B000000}"/>
    <hyperlink ref="C33" r:id="rId13" display="http://budjetti.vm.fi/indox/sisalto.jsp?year=2016&amp;lang=fi&amp;maindoc=/2016/aky/aky.xml&amp;id=/2016/aky/YksityiskohtaisetPerustelut/11/08/04/04.html" xr:uid="{00000000-0004-0000-0600-00000C000000}"/>
    <hyperlink ref="C34" r:id="rId14" display="http://budjetti.vm.fi/indox/sisalto.jsp?year=2016&amp;lang=fi&amp;maindoc=/2016/aky/aky.xml&amp;id=/2016/aky/YksityiskohtaisetPerustelut/11/08/05/05.html" xr:uid="{00000000-0004-0000-0600-00000D000000}"/>
    <hyperlink ref="C35" r:id="rId15" display="http://budjetti.vm.fi/indox/sisalto.jsp?year=2016&amp;lang=fi&amp;maindoc=/2016/aky/aky.xml&amp;id=/2016/aky/YksityiskohtaisetPerustelut/11/08/07/07.html" xr:uid="{00000000-0004-0000-0600-00000E000000}"/>
    <hyperlink ref="C36" r:id="rId16" display="http://budjetti.vm.fi/indox/sisalto.jsp?year=2016&amp;lang=fi&amp;maindoc=/2016/aky/aky.xml&amp;id=/2016/aky/YksityiskohtaisetPerustelut/11/08/08/08.html" xr:uid="{00000000-0004-0000-0600-00000F000000}"/>
    <hyperlink ref="B37" r:id="rId17" display="http://budjetti.vm.fi/indox/sisalto.jsp?year=2016&amp;lang=fi&amp;maindoc=/2016/aky/aky.xml&amp;id=/2016/aky/YksityiskohtaisetPerustelut/11/10/10.html" xr:uid="{00000000-0004-0000-0600-000010000000}"/>
    <hyperlink ref="C38" r:id="rId18" display="http://budjetti.vm.fi/indox/sisalto.jsp?year=2016&amp;lang=fi&amp;maindoc=/2016/aky/aky.xml&amp;id=/2016/aky/YksityiskohtaisetPerustelut/11/10/03/03.html" xr:uid="{00000000-0004-0000-0600-000011000000}"/>
    <hyperlink ref="C39" r:id="rId19" display="http://budjetti.vm.fi/indox/sisalto.jsp?year=2016&amp;lang=fi&amp;maindoc=/2016/aky/aky.xml&amp;id=/2016/aky/YksityiskohtaisetPerustelut/11/10/05/05.html" xr:uid="{00000000-0004-0000-0600-000012000000}"/>
    <hyperlink ref="C40" r:id="rId20" display="http://budjetti.vm.fi/indox/sisalto.jsp?year=2016&amp;lang=fi&amp;maindoc=/2016/aky/aky.xml&amp;id=/2016/aky/YksityiskohtaisetPerustelut/11/10/06/06.html" xr:uid="{00000000-0004-0000-0600-000013000000}"/>
    <hyperlink ref="C41" r:id="rId21" display="http://budjetti.vm.fi/indox/sisalto.jsp?year=2016&amp;lang=fi&amp;maindoc=/2016/aky/aky.xml&amp;id=/2016/aky/YksityiskohtaisetPerustelut/11/10/07/07.html" xr:uid="{00000000-0004-0000-0600-000014000000}"/>
    <hyperlink ref="C42" r:id="rId22" display="http://budjetti.vm.fi/indox/sisalto.jsp?year=2016&amp;lang=fi&amp;maindoc=/2016/aky/aky.xml&amp;id=/2016/aky/YksityiskohtaisetPerustelut/11/10/08/08.html" xr:uid="{00000000-0004-0000-0600-000015000000}"/>
    <hyperlink ref="B43" r:id="rId23" display="http://budjetti.vm.fi/indox/sisalto.jsp?year=2016&amp;lang=fi&amp;maindoc=/2016/aky/aky.xml&amp;id=/2016/aky/YksityiskohtaisetPerustelut/11/19/19.html" xr:uid="{00000000-0004-0000-0600-000016000000}"/>
    <hyperlink ref="C44" r:id="rId24" display="http://budjetti.vm.fi/indox/sisalto.jsp?year=2016&amp;lang=fi&amp;maindoc=/2016/aky/aky.xml&amp;id=/2016/aky/YksityiskohtaisetPerustelut/11/19/03/03.html" xr:uid="{00000000-0004-0000-0600-000017000000}"/>
    <hyperlink ref="C45" r:id="rId25" display="http://budjetti.vm.fi/indox/sisalto.jsp?year=2016&amp;lang=fi&amp;maindoc=/2016/aky/aky.xml&amp;id=/2016/aky/YksityiskohtaisetPerustelut/11/19/04/04.html" xr:uid="{00000000-0004-0000-0600-000018000000}"/>
    <hyperlink ref="C46" r:id="rId26" display="http://budjetti.vm.fi/indox/sisalto.jsp?year=2016&amp;lang=fi&amp;maindoc=/2016/aky/aky.xml&amp;id=/2016/aky/YksityiskohtaisetPerustelut/11/19/05/05.html" xr:uid="{00000000-0004-0000-0600-000019000000}"/>
    <hyperlink ref="C47" r:id="rId27" display="http://budjetti.vm.fi/indox/sisalto.jsp?year=2016&amp;lang=fi&amp;maindoc=/2016/aky/aky.xml&amp;id=/2016/aky/YksityiskohtaisetPerustelut/11/19/06/06.html" xr:uid="{00000000-0004-0000-0600-00001A000000}"/>
    <hyperlink ref="C48" r:id="rId28" display="http://budjetti.vm.fi/indox/sisalto.jsp?year=2016&amp;lang=fi&amp;maindoc=/2016/aky/aky.xml&amp;id=/2016/aky/YksityiskohtaisetPerustelut/11/19/08/08.html" xr:uid="{00000000-0004-0000-0600-00001B000000}"/>
    <hyperlink ref="C49" r:id="rId29" display="http://budjetti.vm.fi/indox/sisalto.jsp?year=2016&amp;lang=fi&amp;maindoc=/2016/aky/aky.xml&amp;id=/2016/aky/YksityiskohtaisetPerustelut/11/19/09/09.html" xr:uid="{00000000-0004-0000-0600-00001C000000}"/>
    <hyperlink ref="C50" r:id="rId30" display="http://budjetti.vm.fi/indox/sisalto.jsp?year=2016&amp;lang=fi&amp;maindoc=/2016/aky/aky.xml&amp;id=/2016/aky/YksityiskohtaisetPerustelut/11/19/10/10.html" xr:uid="{00000000-0004-0000-0600-00001D000000}"/>
    <hyperlink ref="C51" r:id="rId31" display="http://budjetti.vm.fi/indox/sisalto.jsp?year=2016&amp;lang=fi&amp;maindoc=/2016/aky/aky.xml&amp;id=/2016/aky/YksityiskohtaisetPerustelut/11/19/11/11.html" xr:uid="{00000000-0004-0000-0600-00001E000000}"/>
    <hyperlink ref="B52" r:id="rId32" display="http://budjetti.vm.fi/indox/sisalto.jsp?year=2016&amp;lang=fi&amp;maindoc=/2016/aky/aky.xml&amp;id=/2016/aky/YksityiskohtaisetPerustelut/12/12.html" xr:uid="{00000000-0004-0000-0600-00001F000000}"/>
    <hyperlink ref="B53" r:id="rId33" display="http://budjetti.vm.fi/indox/sisalto.jsp?year=2016&amp;lang=fi&amp;maindoc=/2016/aky/aky.xml&amp;id=/2016/aky/YksityiskohtaisetPerustelut/12/24/24.html" xr:uid="{00000000-0004-0000-0600-000020000000}"/>
    <hyperlink ref="C54" r:id="rId34" display="http://budjetti.vm.fi/indox/sisalto.jsp?year=2016&amp;lang=fi&amp;maindoc=/2016/aky/aky.xml&amp;id=/2016/aky/YksityiskohtaisetPerustelut/12/24/99/99.html" xr:uid="{00000000-0004-0000-0600-000021000000}"/>
    <hyperlink ref="B55" r:id="rId35" display="http://budjetti.vm.fi/indox/sisalto.jsp?year=2016&amp;lang=fi&amp;maindoc=/2016/aky/aky.xml&amp;id=/2016/aky/YksityiskohtaisetPerustelut/12/25/25.html" xr:uid="{00000000-0004-0000-0600-000022000000}"/>
    <hyperlink ref="C56" r:id="rId36" display="http://budjetti.vm.fi/indox/sisalto.jsp?year=2016&amp;lang=fi&amp;maindoc=/2016/aky/aky.xml&amp;id=/2016/aky/YksityiskohtaisetPerustelut/12/25/10/10.html" xr:uid="{00000000-0004-0000-0600-000023000000}"/>
    <hyperlink ref="C57" r:id="rId37" display="http://budjetti.vm.fi/indox/sisalto.jsp?year=2016&amp;lang=fi&amp;maindoc=/2016/aky/aky.xml&amp;id=/2016/aky/YksityiskohtaisetPerustelut/12/25/15/15.html" xr:uid="{00000000-0004-0000-0600-000024000000}"/>
    <hyperlink ref="C58" r:id="rId38" display="http://budjetti.vm.fi/indox/sisalto.jsp?year=2016&amp;lang=fi&amp;maindoc=/2016/aky/aky.xml&amp;id=/2016/aky/YksityiskohtaisetPerustelut/12/25/20/20.html" xr:uid="{00000000-0004-0000-0600-000025000000}"/>
    <hyperlink ref="C59" r:id="rId39" display="http://budjetti.vm.fi/indox/sisalto.jsp?year=2016&amp;lang=fi&amp;maindoc=/2016/aky/aky.xml&amp;id=/2016/aky/YksityiskohtaisetPerustelut/12/25/99/99.html" xr:uid="{00000000-0004-0000-0600-000026000000}"/>
    <hyperlink ref="B60" r:id="rId40" display="http://budjetti.vm.fi/indox/sisalto.jsp?year=2016&amp;lang=fi&amp;maindoc=/2016/aky/aky.xml&amp;id=/2016/aky/YksityiskohtaisetPerustelut/12/26/26.html" xr:uid="{00000000-0004-0000-0600-000027000000}"/>
    <hyperlink ref="C61" r:id="rId41" display="http://budjetti.vm.fi/indox/sisalto.jsp?year=2016&amp;lang=fi&amp;maindoc=/2016/aky/aky.xml&amp;id=/2016/aky/YksityiskohtaisetPerustelut/12/26/98/98.html" xr:uid="{00000000-0004-0000-0600-000028000000}"/>
    <hyperlink ref="C62" r:id="rId42" display="http://budjetti.vm.fi/indox/sisalto.jsp?year=2016&amp;lang=fi&amp;maindoc=/2016/aky/aky.xml&amp;id=/2016/aky/YksityiskohtaisetPerustelut/12/26/99/99.html" xr:uid="{00000000-0004-0000-0600-000029000000}"/>
    <hyperlink ref="B63" r:id="rId43" display="http://budjetti.vm.fi/indox/sisalto.jsp?year=2016&amp;lang=fi&amp;maindoc=/2016/aky/aky.xml&amp;id=/2016/aky/YksityiskohtaisetPerustelut/12/27/27.html" xr:uid="{00000000-0004-0000-0600-00002A000000}"/>
    <hyperlink ref="C64" r:id="rId44" display="http://budjetti.vm.fi/indox/sisalto.jsp?year=2016&amp;lang=fi&amp;maindoc=/2016/aky/aky.xml&amp;id=/2016/aky/YksityiskohtaisetPerustelut/12/27/01/01.html" xr:uid="{00000000-0004-0000-0600-00002B000000}"/>
    <hyperlink ref="C65" r:id="rId45" display="http://budjetti.vm.fi/indox/sisalto.jsp?year=2016&amp;lang=fi&amp;maindoc=/2016/aky/aky.xml&amp;id=/2016/aky/YksityiskohtaisetPerustelut/12/27/20/20.html" xr:uid="{00000000-0004-0000-0600-00002C000000}"/>
    <hyperlink ref="C66" r:id="rId46" display="http://budjetti.vm.fi/indox/sisalto.jsp?year=2016&amp;lang=fi&amp;maindoc=/2016/aky/aky.xml&amp;id=/2016/aky/YksityiskohtaisetPerustelut/12/27/99/99.html" xr:uid="{00000000-0004-0000-0600-00002D000000}"/>
    <hyperlink ref="B67" r:id="rId47" display="http://budjetti.vm.fi/indox/sisalto.jsp?year=2016&amp;lang=fi&amp;maindoc=/2016/aky/aky.xml&amp;id=/2016/aky/YksityiskohtaisetPerustelut/12/28/28.html" xr:uid="{00000000-0004-0000-0600-00002E000000}"/>
    <hyperlink ref="C68" r:id="rId48" display="http://budjetti.vm.fi/indox/sisalto.jsp?year=2016&amp;lang=fi&amp;maindoc=/2016/aky/aky.xml&amp;id=/2016/aky/YksityiskohtaisetPerustelut/12/28/10/10.html" xr:uid="{00000000-0004-0000-0600-00002F000000}"/>
    <hyperlink ref="C69" r:id="rId49" display="http://budjetti.vm.fi/indox/sisalto.jsp?year=2016&amp;lang=fi&amp;maindoc=/2016/aky/aky.xml&amp;id=/2016/aky/YksityiskohtaisetPerustelut/12/28/11/11.html" xr:uid="{00000000-0004-0000-0600-000030000000}"/>
    <hyperlink ref="C70" r:id="rId50" display="http://budjetti.vm.fi/indox/sisalto.jsp?year=2016&amp;lang=fi&amp;maindoc=/2016/aky/aky.xml&amp;id=/2016/aky/YksityiskohtaisetPerustelut/12/28/12/12.html" xr:uid="{00000000-0004-0000-0600-000031000000}"/>
    <hyperlink ref="C71" r:id="rId51" display="http://budjetti.vm.fi/indox/sisalto.jsp?year=2016&amp;lang=fi&amp;maindoc=/2016/aky/aky.xml&amp;id=/2016/aky/YksityiskohtaisetPerustelut/12/28/13/13.html" xr:uid="{00000000-0004-0000-0600-000032000000}"/>
    <hyperlink ref="C72" r:id="rId52" display="http://budjetti.vm.fi/indox/sisalto.jsp?year=2016&amp;lang=fi&amp;maindoc=/2016/aky/aky.xml&amp;id=/2016/aky/YksityiskohtaisetPerustelut/12/28/20/20.html" xr:uid="{00000000-0004-0000-0600-000033000000}"/>
    <hyperlink ref="C73" r:id="rId53" display="http://budjetti.vm.fi/indox/sisalto.jsp?year=2016&amp;lang=fi&amp;maindoc=/2016/aky/aky.xml&amp;id=/2016/aky/YksityiskohtaisetPerustelut/12/28/25/25.html" xr:uid="{00000000-0004-0000-0600-000034000000}"/>
    <hyperlink ref="C74" r:id="rId54" display="http://budjetti.vm.fi/indox/sisalto.jsp?year=2016&amp;lang=fi&amp;maindoc=/2016/aky/aky.xml&amp;id=/2016/aky/YksityiskohtaisetPerustelut/12/28/50/50.html" xr:uid="{00000000-0004-0000-0600-000035000000}"/>
    <hyperlink ref="C75" r:id="rId55" display="http://budjetti.vm.fi/indox/sisalto.jsp?year=2016&amp;lang=fi&amp;maindoc=/2016/aky/aky.xml&amp;id=/2016/aky/YksityiskohtaisetPerustelut/12/28/51/51.html" xr:uid="{00000000-0004-0000-0600-000036000000}"/>
    <hyperlink ref="C76" r:id="rId56" display="http://budjetti.vm.fi/indox/sisalto.jsp?year=2016&amp;lang=fi&amp;maindoc=/2016/aky/aky.xml&amp;id=/2016/aky/YksityiskohtaisetPerustelut/12/28/52/52.html" xr:uid="{00000000-0004-0000-0600-000037000000}"/>
    <hyperlink ref="C77" r:id="rId57" display="http://budjetti.vm.fi/indox/sisalto.jsp?year=2016&amp;lang=fi&amp;maindoc=/2016/aky/aky.xml&amp;id=/2016/aky/YksityiskohtaisetPerustelut/12/28/60/60.html" xr:uid="{00000000-0004-0000-0600-000038000000}"/>
    <hyperlink ref="C78" r:id="rId58" display="http://budjetti.vm.fi/indox/sisalto.jsp?year=2016&amp;lang=fi&amp;maindoc=/2016/aky/aky.xml&amp;id=/2016/aky/YksityiskohtaisetPerustelut/12/28/92/92.html" xr:uid="{00000000-0004-0000-0600-000039000000}"/>
    <hyperlink ref="C79" r:id="rId59" display="http://budjetti.vm.fi/indox/sisalto.jsp?year=2016&amp;lang=fi&amp;maindoc=/2016/aky/aky.xml&amp;id=/2016/aky/YksityiskohtaisetPerustelut/12/28/93/93.html" xr:uid="{00000000-0004-0000-0600-00003A000000}"/>
    <hyperlink ref="C80" r:id="rId60" display="http://budjetti.vm.fi/indox/sisalto.jsp?year=2016&amp;lang=fi&amp;maindoc=/2016/aky/aky.xml&amp;id=/2016/aky/YksityiskohtaisetPerustelut/12/28/99/99.html" xr:uid="{00000000-0004-0000-0600-00003B000000}"/>
    <hyperlink ref="B81" r:id="rId61" display="http://budjetti.vm.fi/indox/sisalto.jsp?year=2016&amp;lang=fi&amp;maindoc=/2016/aky/aky.xml&amp;id=/2016/aky/YksityiskohtaisetPerustelut/12/29/29.html" xr:uid="{00000000-0004-0000-0600-00003C000000}"/>
    <hyperlink ref="C82" r:id="rId62" display="http://budjetti.vm.fi/indox/sisalto.jsp?year=2016&amp;lang=fi&amp;maindoc=/2016/aky/aky.xml&amp;id=/2016/aky/YksityiskohtaisetPerustelut/12/29/70/70.html" xr:uid="{00000000-0004-0000-0600-00003D000000}"/>
    <hyperlink ref="C83" r:id="rId63" display="http://budjetti.vm.fi/indox/sisalto.jsp?year=2016&amp;lang=fi&amp;maindoc=/2016/aky/aky.xml&amp;id=/2016/aky/YksityiskohtaisetPerustelut/12/29/88/88.html" xr:uid="{00000000-0004-0000-0600-00003E000000}"/>
    <hyperlink ref="C84" r:id="rId64" display="http://budjetti.vm.fi/indox/sisalto.jsp?year=2016&amp;lang=fi&amp;maindoc=/2016/aky/aky.xml&amp;id=/2016/aky/YksityiskohtaisetPerustelut/12/29/99/99.html" xr:uid="{00000000-0004-0000-0600-00003F000000}"/>
    <hyperlink ref="B85" r:id="rId65" display="http://budjetti.vm.fi/indox/sisalto.jsp?year=2016&amp;lang=fi&amp;maindoc=/2016/aky/aky.xml&amp;id=/2016/aky/YksityiskohtaisetPerustelut/12/30/30.html" xr:uid="{00000000-0004-0000-0600-000040000000}"/>
    <hyperlink ref="C86" r:id="rId66" display="http://budjetti.vm.fi/indox/sisalto.jsp?year=2016&amp;lang=fi&amp;maindoc=/2016/aky/aky.xml&amp;id=/2016/aky/YksityiskohtaisetPerustelut/12/30/01/01.html" xr:uid="{00000000-0004-0000-0600-000041000000}"/>
    <hyperlink ref="C87" r:id="rId67" display="http://budjetti.vm.fi/indox/sisalto.jsp?year=2016&amp;lang=fi&amp;maindoc=/2016/aky/aky.xml&amp;id=/2016/aky/YksityiskohtaisetPerustelut/12/30/02/02.html" xr:uid="{00000000-0004-0000-0600-000042000000}"/>
    <hyperlink ref="C88" r:id="rId68" display="http://budjetti.vm.fi/indox/sisalto.jsp?year=2016&amp;lang=fi&amp;maindoc=/2016/aky/aky.xml&amp;id=/2016/aky/YksityiskohtaisetPerustelut/12/30/03/03.html" xr:uid="{00000000-0004-0000-0600-000043000000}"/>
    <hyperlink ref="C89" r:id="rId69" display="http://budjetti.vm.fi/indox/sisalto.jsp?year=2016&amp;lang=fi&amp;maindoc=/2016/aky/aky.xml&amp;id=/2016/aky/YksityiskohtaisetPerustelut/12/30/04/04.html" xr:uid="{00000000-0004-0000-0600-000044000000}"/>
    <hyperlink ref="C90" r:id="rId70" display="http://budjetti.vm.fi/indox/sisalto.jsp?year=2016&amp;lang=fi&amp;maindoc=/2016/aky/aky.xml&amp;id=/2016/aky/YksityiskohtaisetPerustelut/12/30/20/20.html" xr:uid="{00000000-0004-0000-0600-000045000000}"/>
    <hyperlink ref="C91" r:id="rId71" display="http://budjetti.vm.fi/indox/sisalto.jsp?year=2016&amp;lang=fi&amp;maindoc=/2016/aky/aky.xml&amp;id=/2016/aky/YksityiskohtaisetPerustelut/12/30/40/40.html" xr:uid="{00000000-0004-0000-0600-000046000000}"/>
    <hyperlink ref="C92" r:id="rId72" display="http://budjetti.vm.fi/indox/sisalto.jsp?year=2016&amp;lang=fi&amp;maindoc=/2016/aky/aky.xml&amp;id=/2016/aky/YksityiskohtaisetPerustelut/12/30/41/41.html" xr:uid="{00000000-0004-0000-0600-000047000000}"/>
    <hyperlink ref="C93" r:id="rId73" display="http://budjetti.vm.fi/indox/sisalto.jsp?year=2016&amp;lang=fi&amp;maindoc=/2016/aky/aky.xml&amp;id=/2016/aky/YksityiskohtaisetPerustelut/12/30/42/42.html" xr:uid="{00000000-0004-0000-0600-000048000000}"/>
    <hyperlink ref="C94" r:id="rId74" display="http://budjetti.vm.fi/indox/sisalto.jsp?year=2016&amp;lang=fi&amp;maindoc=/2016/aky/aky.xml&amp;id=/2016/aky/YksityiskohtaisetPerustelut/12/30/44/44.html" xr:uid="{00000000-0004-0000-0600-000049000000}"/>
    <hyperlink ref="C95" r:id="rId75" display="http://budjetti.vm.fi/indox/sisalto.jsp?year=2016&amp;lang=fi&amp;maindoc=/2016/aky/aky.xml&amp;id=/2016/aky/YksityiskohtaisetPerustelut/12/30/45/45.html" xr:uid="{00000000-0004-0000-0600-00004A000000}"/>
    <hyperlink ref="C96" r:id="rId76" display="http://budjetti.vm.fi/indox/sisalto.jsp?year=2016&amp;lang=fi&amp;maindoc=/2016/aky/aky.xml&amp;id=/2016/aky/YksityiskohtaisetPerustelut/12/30/99/99.html" xr:uid="{00000000-0004-0000-0600-00004B000000}"/>
    <hyperlink ref="B97" r:id="rId77" display="http://budjetti.vm.fi/indox/sisalto.jsp?year=2016&amp;lang=fi&amp;maindoc=/2016/aky/aky.xml&amp;id=/2016/aky/YksityiskohtaisetPerustelut/12/31/31.html" xr:uid="{00000000-0004-0000-0600-00004C000000}"/>
    <hyperlink ref="C98" r:id="rId78" display="http://budjetti.vm.fi/indox/sisalto.jsp?year=2016&amp;lang=fi&amp;maindoc=/2016/aky/aky.xml&amp;id=/2016/aky/YksityiskohtaisetPerustelut/12/31/10/10.html" xr:uid="{00000000-0004-0000-0600-00004D000000}"/>
    <hyperlink ref="C99" r:id="rId79" display="http://budjetti.vm.fi/indox/sisalto.jsp?year=2016&amp;lang=fi&amp;maindoc=/2016/aky/aky.xml&amp;id=/2016/aky/YksityiskohtaisetPerustelut/12/31/99/99.html" xr:uid="{00000000-0004-0000-0600-00004E000000}"/>
    <hyperlink ref="B100" r:id="rId80" display="http://budjetti.vm.fi/indox/sisalto.jsp?year=2016&amp;lang=fi&amp;maindoc=/2016/aky/aky.xml&amp;id=/2016/aky/YksityiskohtaisetPerustelut/12/32/32.html" xr:uid="{00000000-0004-0000-0600-00004F000000}"/>
    <hyperlink ref="C101" r:id="rId81" display="http://budjetti.vm.fi/indox/sisalto.jsp?year=2016&amp;lang=fi&amp;maindoc=/2016/aky/aky.xml&amp;id=/2016/aky/YksityiskohtaisetPerustelut/12/32/20/20.html" xr:uid="{00000000-0004-0000-0600-000050000000}"/>
    <hyperlink ref="C102" r:id="rId82" display="http://budjetti.vm.fi/indox/sisalto.jsp?year=2016&amp;lang=fi&amp;maindoc=/2016/aky/aky.xml&amp;id=/2016/aky/YksityiskohtaisetPerustelut/12/32/30/30.html" xr:uid="{00000000-0004-0000-0600-000051000000}"/>
    <hyperlink ref="C103" r:id="rId83" display="http://budjetti.vm.fi/indox/sisalto.jsp?year=2016&amp;lang=fi&amp;maindoc=/2016/aky/aky.xml&amp;id=/2016/aky/YksityiskohtaisetPerustelut/12/32/31/31.html" xr:uid="{00000000-0004-0000-0600-000052000000}"/>
    <hyperlink ref="C104" r:id="rId84" display="http://budjetti.vm.fi/indox/sisalto.jsp?year=2016&amp;lang=fi&amp;maindoc=/2016/aky/aky.xml&amp;id=/2016/aky/YksityiskohtaisetPerustelut/12/32/50/50.html" xr:uid="{00000000-0004-0000-0600-000053000000}"/>
    <hyperlink ref="C105" r:id="rId85" display="http://budjetti.vm.fi/indox/sisalto.jsp?year=2016&amp;lang=fi&amp;maindoc=/2016/aky/aky.xml&amp;id=/2016/aky/YksityiskohtaisetPerustelut/12/32/99/99.html" xr:uid="{00000000-0004-0000-0600-000054000000}"/>
    <hyperlink ref="B106" r:id="rId86" display="http://budjetti.vm.fi/indox/sisalto.jsp?year=2016&amp;lang=fi&amp;maindoc=/2016/aky/aky.xml&amp;id=/2016/aky/YksityiskohtaisetPerustelut/12/33/33.html" xr:uid="{00000000-0004-0000-0600-000055000000}"/>
    <hyperlink ref="C107" r:id="rId87" display="http://budjetti.vm.fi/indox/sisalto.jsp?year=2016&amp;lang=fi&amp;maindoc=/2016/aky/aky.xml&amp;id=/2016/aky/YksityiskohtaisetPerustelut/12/33/02/02.html" xr:uid="{00000000-0004-0000-0600-000056000000}"/>
    <hyperlink ref="C108" r:id="rId88" display="http://budjetti.vm.fi/indox/sisalto.jsp?year=2016&amp;lang=fi&amp;maindoc=/2016/aky/aky.xml&amp;id=/2016/aky/YksityiskohtaisetPerustelut/12/33/03/03.html" xr:uid="{00000000-0004-0000-0600-000057000000}"/>
    <hyperlink ref="C109" r:id="rId89" display="http://budjetti.vm.fi/indox/sisalto.jsp?year=2016&amp;lang=fi&amp;maindoc=/2016/aky/aky.xml&amp;id=/2016/aky/YksityiskohtaisetPerustelut/12/33/90/90.html" xr:uid="{00000000-0004-0000-0600-000058000000}"/>
    <hyperlink ref="C110" r:id="rId90" display="http://budjetti.vm.fi/indox/sisalto.jsp?year=2016&amp;lang=fi&amp;maindoc=/2016/aky/aky.xml&amp;id=/2016/aky/YksityiskohtaisetPerustelut/12/33/98/98.html" xr:uid="{00000000-0004-0000-0600-000059000000}"/>
    <hyperlink ref="C111" r:id="rId91" display="http://budjetti.vm.fi/indox/sisalto.jsp?year=2016&amp;lang=fi&amp;maindoc=/2016/aky/aky.xml&amp;id=/2016/aky/YksityiskohtaisetPerustelut/12/33/99/99.html" xr:uid="{00000000-0004-0000-0600-00005A000000}"/>
    <hyperlink ref="B112" r:id="rId92" display="http://budjetti.vm.fi/indox/sisalto.jsp?year=2016&amp;lang=fi&amp;maindoc=/2016/aky/aky.xml&amp;id=/2016/aky/YksityiskohtaisetPerustelut/12/35/35.html" xr:uid="{00000000-0004-0000-0600-00005B000000}"/>
    <hyperlink ref="C113" r:id="rId93" display="http://budjetti.vm.fi/indox/sisalto.jsp?year=2016&amp;lang=fi&amp;maindoc=/2016/aky/aky.xml&amp;id=/2016/aky/YksityiskohtaisetPerustelut/12/35/10/10.html" xr:uid="{00000000-0004-0000-0600-00005C000000}"/>
    <hyperlink ref="C114" r:id="rId94" display="http://budjetti.vm.fi/indox/sisalto.jsp?year=2016&amp;lang=fi&amp;maindoc=/2016/aky/aky.xml&amp;id=/2016/aky/YksityiskohtaisetPerustelut/12/35/20/20.html" xr:uid="{00000000-0004-0000-0600-00005D000000}"/>
    <hyperlink ref="C115" r:id="rId95" display="http://budjetti.vm.fi/indox/sisalto.jsp?year=2016&amp;lang=fi&amp;maindoc=/2016/aky/aky.xml&amp;id=/2016/aky/YksityiskohtaisetPerustelut/12/35/99/99.html" xr:uid="{00000000-0004-0000-0600-00005E000000}"/>
    <hyperlink ref="B116" r:id="rId96" display="http://budjetti.vm.fi/indox/sisalto.jsp?year=2016&amp;lang=fi&amp;maindoc=/2016/aky/aky.xml&amp;id=/2016/aky/YksityiskohtaisetPerustelut/12/39/39.html" xr:uid="{00000000-0004-0000-0600-00005F000000}"/>
    <hyperlink ref="C117" r:id="rId97" display="http://budjetti.vm.fi/indox/sisalto.jsp?year=2016&amp;lang=fi&amp;maindoc=/2016/aky/aky.xml&amp;id=/2016/aky/YksityiskohtaisetPerustelut/12/39/01/01.html" xr:uid="{00000000-0004-0000-0600-000060000000}"/>
    <hyperlink ref="C118" r:id="rId98" display="http://budjetti.vm.fi/indox/sisalto.jsp?year=2016&amp;lang=fi&amp;maindoc=/2016/aky/aky.xml&amp;id=/2016/aky/YksityiskohtaisetPerustelut/12/39/02/02.html" xr:uid="{00000000-0004-0000-0600-000061000000}"/>
    <hyperlink ref="C119" r:id="rId99" display="http://budjetti.vm.fi/indox/sisalto.jsp?year=2016&amp;lang=fi&amp;maindoc=/2016/aky/aky.xml&amp;id=/2016/aky/YksityiskohtaisetPerustelut/12/39/04/04.html" xr:uid="{00000000-0004-0000-0600-000062000000}"/>
    <hyperlink ref="C120" r:id="rId100" display="http://budjetti.vm.fi/indox/sisalto.jsp?year=2016&amp;lang=fi&amp;maindoc=/2016/aky/aky.xml&amp;id=/2016/aky/YksityiskohtaisetPerustelut/12/39/10/10.html" xr:uid="{00000000-0004-0000-0600-000063000000}"/>
    <hyperlink ref="B121" r:id="rId101" display="http://budjetti.vm.fi/indox/sisalto.jsp?year=2016&amp;lang=fi&amp;maindoc=/2016/aky/aky.xml&amp;id=/2016/aky/YksityiskohtaisetPerustelut/13/13.html" xr:uid="{00000000-0004-0000-0600-000064000000}"/>
    <hyperlink ref="B122" r:id="rId102" display="http://budjetti.vm.fi/indox/sisalto.jsp?year=2016&amp;lang=fi&amp;maindoc=/2016/aky/aky.xml&amp;id=/2016/aky/YksityiskohtaisetPerustelut/13/01/01.html" xr:uid="{00000000-0004-0000-0600-000065000000}"/>
    <hyperlink ref="C123" r:id="rId103" display="http://budjetti.vm.fi/indox/sisalto.jsp?year=2016&amp;lang=fi&amp;maindoc=/2016/aky/aky.xml&amp;id=/2016/aky/YksityiskohtaisetPerustelut/13/01/04/04.html" xr:uid="{00000000-0004-0000-0600-000066000000}"/>
    <hyperlink ref="C124" r:id="rId104" display="http://budjetti.vm.fi/indox/sisalto.jsp?year=2016&amp;lang=fi&amp;maindoc=/2016/aky/aky.xml&amp;id=/2016/aky/YksityiskohtaisetPerustelut/13/01/05/05.html" xr:uid="{00000000-0004-0000-0600-000067000000}"/>
    <hyperlink ref="C125" r:id="rId105" display="http://budjetti.vm.fi/indox/sisalto.jsp?year=2016&amp;lang=fi&amp;maindoc=/2016/aky/aky.xml&amp;id=/2016/aky/YksityiskohtaisetPerustelut/13/01/07/07.html" xr:uid="{00000000-0004-0000-0600-000068000000}"/>
    <hyperlink ref="C126" r:id="rId106" display="http://budjetti.vm.fi/indox/sisalto.jsp?year=2016&amp;lang=fi&amp;maindoc=/2016/aky/aky.xml&amp;id=/2016/aky/YksityiskohtaisetPerustelut/13/01/09/09.html" xr:uid="{00000000-0004-0000-0600-000069000000}"/>
    <hyperlink ref="B127" r:id="rId107" display="http://budjetti.vm.fi/indox/sisalto.jsp?year=2016&amp;lang=fi&amp;maindoc=/2016/aky/aky.xml&amp;id=/2016/aky/YksityiskohtaisetPerustelut/13/03/03.html" xr:uid="{00000000-0004-0000-0600-00006A000000}"/>
    <hyperlink ref="C128" r:id="rId108" display="http://budjetti.vm.fi/indox/sisalto.jsp?year=2016&amp;lang=fi&amp;maindoc=/2016/aky/aky.xml&amp;id=/2016/aky/YksityiskohtaisetPerustelut/13/03/01/01.html" xr:uid="{00000000-0004-0000-0600-00006B000000}"/>
    <hyperlink ref="B129" r:id="rId109" display="http://budjetti.vm.fi/indox/sisalto.jsp?year=2016&amp;lang=fi&amp;maindoc=/2016/aky/aky.xml&amp;id=/2016/aky/YksityiskohtaisetPerustelut/13/04/04.html" xr:uid="{00000000-0004-0000-0600-00006C000000}"/>
    <hyperlink ref="C130" r:id="rId110" display="http://budjetti.vm.fi/indox/sisalto.jsp?year=2016&amp;lang=fi&amp;maindoc=/2016/aky/aky.xml&amp;id=/2016/aky/YksityiskohtaisetPerustelut/13/04/01/01.html" xr:uid="{00000000-0004-0000-0600-00006D000000}"/>
    <hyperlink ref="B131" r:id="rId111" display="http://budjetti.vm.fi/indox/sisalto.jsp?year=2016&amp;lang=fi&amp;maindoc=/2016/aky/aky.xml&amp;id=/2016/aky/YksityiskohtaisetPerustelut/13/05/05.html" xr:uid="{00000000-0004-0000-0600-00006E000000}"/>
    <hyperlink ref="C132" r:id="rId112" display="http://budjetti.vm.fi/indox/sisalto.jsp?year=2016&amp;lang=fi&amp;maindoc=/2016/aky/aky.xml&amp;id=/2016/aky/YksityiskohtaisetPerustelut/13/05/01/01.html" xr:uid="{00000000-0004-0000-0600-00006F000000}"/>
    <hyperlink ref="B133" r:id="rId113" display="http://budjetti.vm.fi/indox/sisalto.jsp?year=2016&amp;lang=fi&amp;maindoc=/2016/aky/aky.xml&amp;id=/2016/aky/YksityiskohtaisetPerustelut/15/15.html" xr:uid="{00000000-0004-0000-0600-000070000000}"/>
    <hyperlink ref="B134" r:id="rId114" display="http://budjetti.vm.fi/indox/sisalto.jsp?year=2016&amp;lang=fi&amp;maindoc=/2016/aky/aky.xml&amp;id=/2016/aky/YksityiskohtaisetPerustelut/15/01/01.html" xr:uid="{00000000-0004-0000-0600-000071000000}"/>
    <hyperlink ref="C135" r:id="rId115" display="http://budjetti.vm.fi/indox/sisalto.jsp?year=2016&amp;lang=fi&amp;maindoc=/2016/aky/aky.xml&amp;id=/2016/aky/YksityiskohtaisetPerustelut/15/01/02/02.html" xr:uid="{00000000-0004-0000-0600-000072000000}"/>
    <hyperlink ref="C136" r:id="rId116" display="http://budjetti.vm.fi/indox/sisalto.jsp?year=2016&amp;lang=fi&amp;maindoc=/2016/aky/aky.xml&amp;id=/2016/aky/YksityiskohtaisetPerustelut/15/01/04/04.html" xr:uid="{00000000-0004-0000-0600-000073000000}"/>
    <hyperlink ref="B137" r:id="rId117" display="http://budjetti.vm.fi/indox/sisalto.jsp?year=2016&amp;lang=fi&amp;maindoc=/2016/aky/aky.xml&amp;id=/2016/aky/YksityiskohtaisetPerustelut/15/03/03.html" xr:uid="{00000000-0004-0000-0600-000074000000}"/>
    <hyperlink ref="C138" r:id="rId118" display="http://budjetti.vm.fi/indox/sisalto.jsp?year=2016&amp;lang=fi&amp;maindoc=/2016/aky/aky.xml&amp;id=/2016/aky/YksityiskohtaisetPerustelut/15/03/01/01.html" xr:uid="{00000000-0004-0000-0600-000075000000}"/>
    <hyperlink ref="B143" r:id="rId119" display="http://budjetti.vm.fi/indox/sisalto.jsp?year=2016&amp;lang=fi&amp;maindoc=/2016/aky/aky.xml&amp;id=/2016/aky/YksityiskohtaisetPerustelut/21/21.html" xr:uid="{00000000-0004-0000-0600-000076000000}"/>
    <hyperlink ref="B145" r:id="rId120" display="http://budjetti.vm.fi/indox/sisalto.jsp?year=2016&amp;lang=fi&amp;maindoc=/2016/aky/aky.xml&amp;id=/2016/aky/YksityiskohtaisetPerustelut/21/01/01.html" xr:uid="{00000000-0004-0000-0600-000077000000}"/>
    <hyperlink ref="C146" r:id="rId121" display="http://budjetti.vm.fi/indox/sisalto.jsp?year=2016&amp;lang=fi&amp;maindoc=/2016/aky/aky.xml&amp;id=/2016/aky/YksityiskohtaisetPerustelut/21/01/01/01.html" xr:uid="{00000000-0004-0000-0600-000078000000}"/>
    <hyperlink ref="B148" r:id="rId122" display="http://budjetti.vm.fi/indox/sisalto.jsp?year=2016&amp;lang=fi&amp;maindoc=/2016/aky/aky.xml&amp;id=/2016/aky/YksityiskohtaisetPerustelut/21/10/10.html" xr:uid="{00000000-0004-0000-0600-000079000000}"/>
    <hyperlink ref="C149" r:id="rId123" display="http://budjetti.vm.fi/indox/sisalto.jsp?year=2016&amp;lang=fi&amp;maindoc=/2016/aky/aky.xml&amp;id=/2016/aky/YksityiskohtaisetPerustelut/21/10/01/01.html" xr:uid="{00000000-0004-0000-0600-00007A000000}"/>
    <hyperlink ref="C150" r:id="rId124" display="http://budjetti.vm.fi/indox/sisalto.jsp?year=2016&amp;lang=fi&amp;maindoc=/2016/aky/aky.xml&amp;id=/2016/aky/YksityiskohtaisetPerustelut/21/10/02/02.html" xr:uid="{00000000-0004-0000-0600-00007B000000}"/>
    <hyperlink ref="C151" r:id="rId125" display="http://budjetti.vm.fi/indox/sisalto.jsp?year=2016&amp;lang=fi&amp;maindoc=/2016/aky/aky.xml&amp;id=/2016/aky/YksityiskohtaisetPerustelut/21/10/29/29.html" xr:uid="{00000000-0004-0000-0600-00007C000000}"/>
    <hyperlink ref="C152" r:id="rId126" display="http://budjetti.vm.fi/indox/sisalto.jsp?year=2016&amp;lang=fi&amp;maindoc=/2016/aky/aky.xml&amp;id=/2016/aky/YksityiskohtaisetPerustelut/21/10/51/51.html" xr:uid="{00000000-0004-0000-0600-00007D000000}"/>
    <hyperlink ref="C153" r:id="rId127" display="http://budjetti.vm.fi/indox/sisalto.jsp?year=2016&amp;lang=fi&amp;maindoc=/2016/aky/aky.xml&amp;id=/2016/aky/YksityiskohtaisetPerustelut/21/10/70/70.html" xr:uid="{00000000-0004-0000-0600-00007E000000}"/>
    <hyperlink ref="C154" r:id="rId128" display="http://budjetti.vm.fi/indox/sisalto.jsp?year=2016&amp;lang=fi&amp;maindoc=/2016/aky/aky.xml&amp;id=/2016/aky/YksityiskohtaisetPerustelut/21/10/74/74.html" xr:uid="{00000000-0004-0000-0600-00007F000000}"/>
    <hyperlink ref="B156" r:id="rId129" display="http://budjetti.vm.fi/indox/sisalto.jsp?year=2016&amp;lang=fi&amp;maindoc=/2016/aky/aky.xml&amp;id=/2016/aky/YksityiskohtaisetPerustelut/21/20/20.html" xr:uid="{00000000-0004-0000-0600-000080000000}"/>
    <hyperlink ref="C157" r:id="rId130" display="http://budjetti.vm.fi/indox/sisalto.jsp?year=2016&amp;lang=fi&amp;maindoc=/2016/aky/aky.xml&amp;id=/2016/aky/YksityiskohtaisetPerustelut/21/20/01/01.html" xr:uid="{00000000-0004-0000-0600-000081000000}"/>
    <hyperlink ref="B159" r:id="rId131" display="http://budjetti.vm.fi/indox/sisalto.jsp?year=2016&amp;lang=fi&amp;maindoc=/2016/aky/aky.xml&amp;id=/2016/aky/YksityiskohtaisetPerustelut/21/30/30.html" xr:uid="{00000000-0004-0000-0600-000082000000}"/>
    <hyperlink ref="C160" r:id="rId132" display="http://budjetti.vm.fi/indox/sisalto.jsp?year=2016&amp;lang=fi&amp;maindoc=/2016/aky/aky.xml&amp;id=/2016/aky/YksityiskohtaisetPerustelut/21/30/01/01.html" xr:uid="{00000000-0004-0000-0600-000083000000}"/>
    <hyperlink ref="C161" r:id="rId133" display="http://budjetti.vm.fi/indox/sisalto.jsp?year=2016&amp;lang=fi&amp;maindoc=/2016/aky/aky.xml&amp;id=/2016/aky/YksityiskohtaisetPerustelut/21/30/29/29.html" xr:uid="{00000000-0004-0000-0600-000084000000}"/>
    <hyperlink ref="B163" r:id="rId134" display="http://budjetti.vm.fi/indox/sisalto.jsp?year=2016&amp;lang=fi&amp;maindoc=/2016/aky/aky.xml&amp;id=/2016/aky/YksityiskohtaisetPerustelut/21/40/40.html" xr:uid="{00000000-0004-0000-0600-000085000000}"/>
    <hyperlink ref="C164" r:id="rId135" display="http://budjetti.vm.fi/indox/sisalto.jsp?year=2016&amp;lang=fi&amp;maindoc=/2016/aky/aky.xml&amp;id=/2016/aky/YksityiskohtaisetPerustelut/21/40/01/01.html" xr:uid="{00000000-0004-0000-0600-000086000000}"/>
    <hyperlink ref="C165" r:id="rId136" display="http://budjetti.vm.fi/indox/sisalto.jsp?year=2016&amp;lang=fi&amp;maindoc=/2016/aky/aky.xml&amp;id=/2016/aky/YksityiskohtaisetPerustelut/21/40/29/29.html" xr:uid="{00000000-0004-0000-0600-000087000000}"/>
    <hyperlink ref="B167" r:id="rId137" display="http://budjetti.vm.fi/indox/sisalto.jsp?year=2016&amp;lang=fi&amp;maindoc=/2016/aky/aky.xml&amp;id=/2016/aky/YksityiskohtaisetPerustelut/21/90/90.html" xr:uid="{00000000-0004-0000-0600-000088000000}"/>
    <hyperlink ref="C168" r:id="rId138" display="http://budjetti.vm.fi/indox/sisalto.jsp?year=2016&amp;lang=fi&amp;maindoc=/2016/aky/aky.xml&amp;id=/2016/aky/YksityiskohtaisetPerustelut/21/90/50/50.html" xr:uid="{00000000-0004-0000-0600-000089000000}"/>
    <hyperlink ref="B170" r:id="rId139" display="http://budjetti.vm.fi/indox/sisalto.jsp?year=2016&amp;lang=fi&amp;maindoc=/2016/aky/aky.xml&amp;id=/2016/aky/YksityiskohtaisetPerustelut/22/22.html" xr:uid="{00000000-0004-0000-0600-00008A000000}"/>
    <hyperlink ref="B172" r:id="rId140" display="http://budjetti.vm.fi/indox/sisalto.jsp?year=2016&amp;lang=fi&amp;maindoc=/2016/aky/aky.xml&amp;id=/2016/aky/YksityiskohtaisetPerustelut/22/01/01.html" xr:uid="{00000000-0004-0000-0600-00008B000000}"/>
    <hyperlink ref="C173" r:id="rId141" display="http://budjetti.vm.fi/indox/sisalto.jsp?year=2016&amp;lang=fi&amp;maindoc=/2016/aky/aky.xml&amp;id=/2016/aky/YksityiskohtaisetPerustelut/22/01/01/01.html" xr:uid="{00000000-0004-0000-0600-00008C000000}"/>
    <hyperlink ref="C174" r:id="rId142" display="http://budjetti.vm.fi/indox/sisalto.jsp?year=2016&amp;lang=fi&amp;maindoc=/2016/aky/aky.xml&amp;id=/2016/aky/YksityiskohtaisetPerustelut/22/01/02/02.html" xr:uid="{00000000-0004-0000-0600-00008D000000}"/>
    <hyperlink ref="C175" r:id="rId143" display="http://budjetti.vm.fi/indox/sisalto.jsp?year=2016&amp;lang=fi&amp;maindoc=/2016/aky/aky.xml&amp;id=/2016/aky/YksityiskohtaisetPerustelut/22/01/20/20.html" xr:uid="{00000000-0004-0000-0600-00008E000000}"/>
    <hyperlink ref="B177" r:id="rId144" display="http://budjetti.vm.fi/indox/sisalto.jsp?year=2016&amp;lang=fi&amp;maindoc=/2016/aky/aky.xml&amp;id=/2016/aky/YksityiskohtaisetPerustelut/22/02/02.html" xr:uid="{00000000-0004-0000-0600-00008F000000}"/>
    <hyperlink ref="C178" r:id="rId145" display="http://budjetti.vm.fi/indox/sisalto.jsp?year=2016&amp;lang=fi&amp;maindoc=/2016/aky/aky.xml&amp;id=/2016/aky/YksityiskohtaisetPerustelut/22/02/01/01.html" xr:uid="{00000000-0004-0000-0600-000090000000}"/>
    <hyperlink ref="C179" r:id="rId146" display="http://budjetti.vm.fi/indox/sisalto.jsp?year=2016&amp;lang=fi&amp;maindoc=/2016/aky/aky.xml&amp;id=/2016/aky/YksityiskohtaisetPerustelut/22/02/02/02.html" xr:uid="{00000000-0004-0000-0600-000091000000}"/>
    <hyperlink ref="C180" r:id="rId147" display="http://budjetti.vm.fi/indox/sisalto.jsp?year=2016&amp;lang=fi&amp;maindoc=/2016/aky/aky.xml&amp;id=/2016/aky/YksityiskohtaisetPerustelut/22/02/29/29.html" xr:uid="{00000000-0004-0000-0600-000092000000}"/>
    <hyperlink ref="B182" r:id="rId148" display="http://budjetti.vm.fi/indox/sisalto.jsp?year=2016&amp;lang=fi&amp;maindoc=/2016/aky/aky.xml&amp;id=/2016/aky/YksityiskohtaisetPerustelut/23/23.html" xr:uid="{00000000-0004-0000-0600-000093000000}"/>
    <hyperlink ref="B184" r:id="rId149" display="http://budjetti.vm.fi/indox/sisalto.jsp?year=2016&amp;lang=fi&amp;maindoc=/2016/aky/aky.xml&amp;id=/2016/aky/YksityiskohtaisetPerustelut/23/01/01.html" xr:uid="{00000000-0004-0000-0600-000094000000}"/>
    <hyperlink ref="C185" r:id="rId150" display="http://budjetti.vm.fi/indox/sisalto.jsp?year=2016&amp;lang=fi&amp;maindoc=/2016/aky/aky.xml&amp;id=/2016/aky/YksityiskohtaisetPerustelut/23/01/01/01.html" xr:uid="{00000000-0004-0000-0600-000095000000}"/>
    <hyperlink ref="C186" r:id="rId151" display="http://budjetti.vm.fi/indox/sisalto.jsp?year=2016&amp;lang=fi&amp;maindoc=/2016/aky/aky.xml&amp;id=/2016/aky/YksityiskohtaisetPerustelut/23/01/02/02.html" xr:uid="{00000000-0004-0000-0600-000096000000}"/>
    <hyperlink ref="C187" r:id="rId152" display="http://budjetti.vm.fi/indox/sisalto.jsp?year=2016&amp;lang=fi&amp;maindoc=/2016/aky/aky.xml&amp;id=/2016/aky/YksityiskohtaisetPerustelut/23/01/03/03.html" xr:uid="{00000000-0004-0000-0600-000097000000}"/>
    <hyperlink ref="C188" r:id="rId153" display="http://budjetti.vm.fi/indox/sisalto.jsp?year=2016&amp;lang=fi&amp;maindoc=/2016/aky/aky.xml&amp;id=/2016/aky/YksityiskohtaisetPerustelut/23/01/20/20.html" xr:uid="{00000000-0004-0000-0600-000098000000}"/>
    <hyperlink ref="C189" r:id="rId154" display="http://budjetti.vm.fi/indox/sisalto.jsp?year=2016&amp;lang=fi&amp;maindoc=/2016/aky/aky.xml&amp;id=/2016/aky/YksityiskohtaisetPerustelut/23/01/22/22.html" xr:uid="{00000000-0004-0000-0600-000099000000}"/>
    <hyperlink ref="C190" r:id="rId155" display="http://budjetti.vm.fi/indox/sisalto.jsp?year=2016&amp;lang=fi&amp;maindoc=/2016/aky/aky.xml&amp;id=/2016/aky/YksityiskohtaisetPerustelut/23/01/23/23.html" xr:uid="{00000000-0004-0000-0600-00009A000000}"/>
    <hyperlink ref="C191" r:id="rId156" display="http://budjetti.vm.fi/indox/sisalto.jsp?year=2016&amp;lang=fi&amp;maindoc=/2016/aky/aky.xml&amp;id=/2016/aky/YksityiskohtaisetPerustelut/23/01/29/29.html" xr:uid="{00000000-0004-0000-0600-00009B000000}"/>
    <hyperlink ref="B193" r:id="rId157" display="http://budjetti.vm.fi/indox/sisalto.jsp?year=2016&amp;lang=fi&amp;maindoc=/2016/aky/aky.xml&amp;id=/2016/aky/YksityiskohtaisetPerustelut/23/10/10.html" xr:uid="{00000000-0004-0000-0600-00009C000000}"/>
    <hyperlink ref="C194" r:id="rId158" display="http://budjetti.vm.fi/indox/sisalto.jsp?year=2016&amp;lang=fi&amp;maindoc=/2016/aky/aky.xml&amp;id=/2016/aky/YksityiskohtaisetPerustelut/23/10/88/88.html" xr:uid="{00000000-0004-0000-0600-00009D000000}"/>
    <hyperlink ref="B196" r:id="rId159" display="http://budjetti.vm.fi/indox/sisalto.jsp?year=2016&amp;lang=fi&amp;maindoc=/2016/aky/aky.xml&amp;id=/2016/aky/YksityiskohtaisetPerustelut/23/20/20.html" xr:uid="{00000000-0004-0000-0600-00009E000000}"/>
    <hyperlink ref="C197" r:id="rId160" display="http://budjetti.vm.fi/indox/sisalto.jsp?year=2016&amp;lang=fi&amp;maindoc=/2016/aky/aky.xml&amp;id=/2016/aky/YksityiskohtaisetPerustelut/23/20/50/50.html" xr:uid="{00000000-0004-0000-0600-00009F000000}"/>
    <hyperlink ref="B199" r:id="rId161" display="http://budjetti.vm.fi/indox/sisalto.jsp?year=2016&amp;lang=fi&amp;maindoc=/2016/aky/aky.xml&amp;id=/2016/aky/YksityiskohtaisetPerustelut/23/30/30.html" xr:uid="{00000000-0004-0000-0600-0000A0000000}"/>
    <hyperlink ref="C200" r:id="rId162" display="http://budjetti.vm.fi/indox/sisalto.jsp?year=2016&amp;lang=fi&amp;maindoc=/2016/aky/aky.xml&amp;id=/2016/aky/YksityiskohtaisetPerustelut/23/30/01/01.html" xr:uid="{00000000-0004-0000-0600-0000A1000000}"/>
    <hyperlink ref="B202" r:id="rId163" display="http://budjetti.vm.fi/indox/sisalto.jsp?year=2016&amp;lang=fi&amp;maindoc=/2016/aky/aky.xml&amp;id=/2016/aky/YksityiskohtaisetPerustelut/23/90/90.html" xr:uid="{00000000-0004-0000-0600-0000A2000000}"/>
    <hyperlink ref="C203" r:id="rId164" display="http://budjetti.vm.fi/indox/sisalto.jsp?year=2016&amp;lang=fi&amp;maindoc=/2016/aky/aky.xml&amp;id=/2016/aky/YksityiskohtaisetPerustelut/23/90/21/21.html" xr:uid="{00000000-0004-0000-0600-0000A3000000}"/>
    <hyperlink ref="C204" r:id="rId165" display="http://budjetti.vm.fi/indox/sisalto.jsp?year=2016&amp;lang=fi&amp;maindoc=/2016/aky/aky.xml&amp;id=/2016/aky/YksityiskohtaisetPerustelut/23/90/26/26.html" xr:uid="{00000000-0004-0000-0600-0000A4000000}"/>
    <hyperlink ref="B206" r:id="rId166" display="http://budjetti.vm.fi/indox/sisalto.jsp?year=2016&amp;lang=fi&amp;maindoc=/2016/aky/aky.xml&amp;id=/2016/aky/YksityiskohtaisetPerustelut/24/24.html" xr:uid="{00000000-0004-0000-0600-0000A5000000}"/>
    <hyperlink ref="B208" r:id="rId167" display="http://budjetti.vm.fi/indox/sisalto.jsp?year=2016&amp;lang=fi&amp;maindoc=/2016/aky/aky.xml&amp;id=/2016/aky/YksityiskohtaisetPerustelut/24/01/01.html" xr:uid="{00000000-0004-0000-0600-0000A6000000}"/>
    <hyperlink ref="C209" r:id="rId168" display="http://budjetti.vm.fi/indox/sisalto.jsp?year=2016&amp;lang=fi&amp;maindoc=/2016/aky/aky.xml&amp;id=/2016/aky/YksityiskohtaisetPerustelut/24/01/01/01.html" xr:uid="{00000000-0004-0000-0600-0000A7000000}"/>
    <hyperlink ref="C210" r:id="rId169" display="http://budjetti.vm.fi/indox/sisalto.jsp?year=2016&amp;lang=fi&amp;maindoc=/2016/aky/aky.xml&amp;id=/2016/aky/YksityiskohtaisetPerustelut/24/01/21/21.html" xr:uid="{00000000-0004-0000-0600-0000A8000000}"/>
    <hyperlink ref="C211" r:id="rId170" display="http://budjetti.vm.fi/indox/sisalto.jsp?year=2016&amp;lang=fi&amp;maindoc=/2016/aky/aky.xml&amp;id=/2016/aky/YksityiskohtaisetPerustelut/24/01/29/29.html" xr:uid="{00000000-0004-0000-0600-0000A9000000}"/>
    <hyperlink ref="C212" r:id="rId171" display="http://budjetti.vm.fi/indox/sisalto.jsp?year=2016&amp;lang=fi&amp;maindoc=/2016/aky/aky.xml&amp;id=/2016/aky/YksityiskohtaisetPerustelut/24/01/74/74.html" xr:uid="{00000000-0004-0000-0600-0000AA000000}"/>
    <hyperlink ref="C213" r:id="rId172" display="http://budjetti.vm.fi/indox/sisalto.jsp?year=2016&amp;lang=fi&amp;maindoc=/2016/aky/aky.xml&amp;id=/2016/aky/YksityiskohtaisetPerustelut/24/01/76/76.html" xr:uid="{00000000-0004-0000-0600-0000AB000000}"/>
    <hyperlink ref="B215" r:id="rId173" display="http://budjetti.vm.fi/indox/sisalto.jsp?year=2016&amp;lang=fi&amp;maindoc=/2016/aky/aky.xml&amp;id=/2016/aky/YksityiskohtaisetPerustelut/24/10/10.html" xr:uid="{00000000-0004-0000-0600-0000AC000000}"/>
    <hyperlink ref="C216" r:id="rId174" display="http://budjetti.vm.fi/indox/sisalto.jsp?year=2016&amp;lang=fi&amp;maindoc=/2016/aky/aky.xml&amp;id=/2016/aky/YksityiskohtaisetPerustelut/24/10/20/20.html" xr:uid="{00000000-0004-0000-0600-0000AD000000}"/>
    <hyperlink ref="C217" r:id="rId175" display="http://budjetti.vm.fi/indox/sisalto.jsp?year=2016&amp;lang=fi&amp;maindoc=/2016/aky/aky.xml&amp;id=/2016/aky/YksityiskohtaisetPerustelut/24/10/21/21.html" xr:uid="{00000000-0004-0000-0600-0000AE000000}"/>
    <hyperlink ref="B219" r:id="rId176" display="http://budjetti.vm.fi/indox/sisalto.jsp?year=2016&amp;lang=fi&amp;maindoc=/2016/aky/aky.xml&amp;id=/2016/aky/YksityiskohtaisetPerustelut/24/30/30.html" xr:uid="{00000000-0004-0000-0600-0000AF000000}"/>
    <hyperlink ref="C220" r:id="rId177" display="http://budjetti.vm.fi/indox/sisalto.jsp?year=2016&amp;lang=fi&amp;maindoc=/2016/aky/aky.xml&amp;id=/2016/aky/YksityiskohtaisetPerustelut/24/30/50/50.html" xr:uid="{00000000-0004-0000-0600-0000B0000000}"/>
    <hyperlink ref="C221" r:id="rId178" display="http://budjetti.vm.fi/indox/sisalto.jsp?year=2016&amp;lang=fi&amp;maindoc=/2016/aky/aky.xml&amp;id=/2016/aky/YksityiskohtaisetPerustelut/24/30/66/66.html" xr:uid="{00000000-0004-0000-0600-0000B1000000}"/>
    <hyperlink ref="C222" r:id="rId179" display="http://budjetti.vm.fi/indox/sisalto.jsp?year=2016&amp;lang=fi&amp;maindoc=/2016/aky/aky.xml&amp;id=/2016/aky/YksityiskohtaisetPerustelut/24/30/89/89.html" xr:uid="{00000000-0004-0000-0600-0000B2000000}"/>
    <hyperlink ref="B224" r:id="rId180" display="http://budjetti.vm.fi/indox/sisalto.jsp?year=2016&amp;lang=fi&amp;maindoc=/2016/aky/aky.xml&amp;id=/2016/aky/YksityiskohtaisetPerustelut/24/90/90.html" xr:uid="{00000000-0004-0000-0600-0000B3000000}"/>
    <hyperlink ref="C225" r:id="rId181" display="http://budjetti.vm.fi/indox/sisalto.jsp?year=2016&amp;lang=fi&amp;maindoc=/2016/aky/aky.xml&amp;id=/2016/aky/YksityiskohtaisetPerustelut/24/90/50/50.html" xr:uid="{00000000-0004-0000-0600-0000B4000000}"/>
    <hyperlink ref="C226" r:id="rId182" display="http://budjetti.vm.fi/indox/sisalto.jsp?year=2016&amp;lang=fi&amp;maindoc=/2016/aky/aky.xml&amp;id=/2016/aky/YksityiskohtaisetPerustelut/24/90/51/51.html" xr:uid="{00000000-0004-0000-0600-0000B5000000}"/>
    <hyperlink ref="C227" r:id="rId183" display="http://budjetti.vm.fi/indox/sisalto.jsp?year=2016&amp;lang=fi&amp;maindoc=/2016/aky/aky.xml&amp;id=/2016/aky/YksityiskohtaisetPerustelut/24/90/66/66.html" xr:uid="{00000000-0004-0000-0600-0000B6000000}"/>
    <hyperlink ref="C228" r:id="rId184" display="http://budjetti.vm.fi/indox/sisalto.jsp?year=2016&amp;lang=fi&amp;maindoc=/2016/aky/aky.xml&amp;id=/2016/aky/YksityiskohtaisetPerustelut/24/90/67/67.html" xr:uid="{00000000-0004-0000-0600-0000B7000000}"/>
    <hyperlink ref="C229" r:id="rId185" display="http://budjetti.vm.fi/indox/sisalto.jsp?year=2016&amp;lang=fi&amp;maindoc=/2016/aky/aky.xml&amp;id=/2016/aky/YksityiskohtaisetPerustelut/24/90/68/68.html" xr:uid="{00000000-0004-0000-0600-0000B8000000}"/>
    <hyperlink ref="C230" r:id="rId186" display="http://budjetti.vm.fi/indox/sisalto.jsp?year=2016&amp;lang=fi&amp;maindoc=/2016/aky/aky.xml&amp;id=/2016/aky/YksityiskohtaisetPerustelut/24/90/95/95.html" xr:uid="{00000000-0004-0000-0600-0000B9000000}"/>
    <hyperlink ref="B232" r:id="rId187" display="http://budjetti.vm.fi/indox/sisalto.jsp?year=2016&amp;lang=fi&amp;maindoc=/2016/aky/aky.xml&amp;id=/2016/aky/YksityiskohtaisetPerustelut/25/25.html" xr:uid="{00000000-0004-0000-0600-0000BA000000}"/>
    <hyperlink ref="B234" r:id="rId188" display="http://budjetti.vm.fi/indox/sisalto.jsp?year=2016&amp;lang=fi&amp;maindoc=/2016/aky/aky.xml&amp;id=/2016/aky/YksityiskohtaisetPerustelut/25/01/01.html" xr:uid="{00000000-0004-0000-0600-0000BB000000}"/>
    <hyperlink ref="C235" r:id="rId189" display="http://budjetti.vm.fi/indox/sisalto.jsp?year=2016&amp;lang=fi&amp;maindoc=/2016/aky/aky.xml&amp;id=/2016/aky/YksityiskohtaisetPerustelut/25/01/01/01.html" xr:uid="{00000000-0004-0000-0600-0000BC000000}"/>
    <hyperlink ref="C236" r:id="rId190" display="http://budjetti.vm.fi/indox/sisalto.jsp?year=2016&amp;lang=fi&amp;maindoc=/2016/aky/aky.xml&amp;id=/2016/aky/YksityiskohtaisetPerustelut/25/01/03/03.html" xr:uid="{00000000-0004-0000-0600-0000BD000000}"/>
    <hyperlink ref="C237" r:id="rId191" display="http://budjetti.vm.fi/indox/sisalto.jsp?year=2016&amp;lang=fi&amp;maindoc=/2016/aky/aky.xml&amp;id=/2016/aky/YksityiskohtaisetPerustelut/25/01/05/05.html" xr:uid="{00000000-0004-0000-0600-0000BE000000}"/>
    <hyperlink ref="C238" r:id="rId192" display="http://budjetti.vm.fi/indox/sisalto.jsp?year=2016&amp;lang=fi&amp;maindoc=/2016/aky/aky.xml&amp;id=/2016/aky/YksityiskohtaisetPerustelut/25/01/20/20.html" xr:uid="{00000000-0004-0000-0600-0000BF000000}"/>
    <hyperlink ref="C239" r:id="rId193" display="http://budjetti.vm.fi/indox/sisalto.jsp?year=2016&amp;lang=fi&amp;maindoc=/2016/aky/aky.xml&amp;id=/2016/aky/YksityiskohtaisetPerustelut/25/01/21/21.html" xr:uid="{00000000-0004-0000-0600-0000C0000000}"/>
    <hyperlink ref="C240" r:id="rId194" display="http://budjetti.vm.fi/indox/sisalto.jsp?year=2016&amp;lang=fi&amp;maindoc=/2016/aky/aky.xml&amp;id=/2016/aky/YksityiskohtaisetPerustelut/25/01/22/22.html" xr:uid="{00000000-0004-0000-0600-0000C1000000}"/>
    <hyperlink ref="C241" r:id="rId195" display="http://budjetti.vm.fi/indox/sisalto.jsp?year=2016&amp;lang=fi&amp;maindoc=/2016/aky/aky.xml&amp;id=/2016/aky/YksityiskohtaisetPerustelut/25/01/29/29.html" xr:uid="{00000000-0004-0000-0600-0000C2000000}"/>
    <hyperlink ref="C242" r:id="rId196" display="http://budjetti.vm.fi/indox/sisalto.jsp?year=2016&amp;lang=fi&amp;maindoc=/2016/aky/aky.xml&amp;id=/2016/aky/YksityiskohtaisetPerustelut/25/01/50/50.html" xr:uid="{00000000-0004-0000-0600-0000C3000000}"/>
    <hyperlink ref="C243" r:id="rId197" display="http://budjetti.vm.fi/indox/sisalto.jsp?year=2016&amp;lang=fi&amp;maindoc=/2016/aky/aky.xml&amp;id=/2016/aky/YksityiskohtaisetPerustelut/25/01/51/51.html" xr:uid="{00000000-0004-0000-0600-0000C4000000}"/>
    <hyperlink ref="B245" r:id="rId198" display="http://budjetti.vm.fi/indox/sisalto.jsp?year=2016&amp;lang=fi&amp;maindoc=/2016/aky/aky.xml&amp;id=/2016/aky/YksityiskohtaisetPerustelut/25/10/10.html" xr:uid="{00000000-0004-0000-0600-0000C5000000}"/>
    <hyperlink ref="C246" r:id="rId199" display="http://budjetti.vm.fi/indox/sisalto.jsp?year=2016&amp;lang=fi&amp;maindoc=/2016/aky/aky.xml&amp;id=/2016/aky/YksityiskohtaisetPerustelut/25/10/01/01.html" xr:uid="{00000000-0004-0000-0600-0000C6000000}"/>
    <hyperlink ref="C247" r:id="rId200" display="http://budjetti.vm.fi/indox/sisalto.jsp?year=2016&amp;lang=fi&amp;maindoc=/2016/aky/aky.xml&amp;id=/2016/aky/YksityiskohtaisetPerustelut/25/10/02/02.html" xr:uid="{00000000-0004-0000-0600-0000C7000000}"/>
    <hyperlink ref="C248" r:id="rId201" display="http://budjetti.vm.fi/indox/sisalto.jsp?year=2016&amp;lang=fi&amp;maindoc=/2016/aky/aky.xml&amp;id=/2016/aky/YksityiskohtaisetPerustelut/25/10/03/03.html" xr:uid="{00000000-0004-0000-0600-0000C8000000}"/>
    <hyperlink ref="C249" r:id="rId202" display="http://budjetti.vm.fi/indox/sisalto.jsp?year=2016&amp;lang=fi&amp;maindoc=/2016/aky/aky.xml&amp;id=/2016/aky/YksityiskohtaisetPerustelut/25/10/04/04.html" xr:uid="{00000000-0004-0000-0600-0000C9000000}"/>
    <hyperlink ref="C250" r:id="rId203" display="http://budjetti.vm.fi/indox/sisalto.jsp?year=2016&amp;lang=fi&amp;maindoc=/2016/aky/aky.xml&amp;id=/2016/aky/YksityiskohtaisetPerustelut/25/10/50/50.html" xr:uid="{00000000-0004-0000-0600-0000CA000000}"/>
    <hyperlink ref="B252" r:id="rId204" display="http://budjetti.vm.fi/indox/sisalto.jsp?year=2016&amp;lang=fi&amp;maindoc=/2016/aky/aky.xml&amp;id=/2016/aky/YksityiskohtaisetPerustelut/25/20/20.html" xr:uid="{00000000-0004-0000-0600-0000CB000000}"/>
    <hyperlink ref="C253" r:id="rId205" display="http://budjetti.vm.fi/indox/sisalto.jsp?year=2016&amp;lang=fi&amp;maindoc=/2016/aky/aky.xml&amp;id=/2016/aky/YksityiskohtaisetPerustelut/25/20/01/01.html" xr:uid="{00000000-0004-0000-0600-0000CC000000}"/>
    <hyperlink ref="B255" r:id="rId206" display="http://budjetti.vm.fi/indox/sisalto.jsp?year=2016&amp;lang=fi&amp;maindoc=/2016/aky/aky.xml&amp;id=/2016/aky/YksityiskohtaisetPerustelut/25/30/30.html" xr:uid="{00000000-0004-0000-0600-0000CD000000}"/>
    <hyperlink ref="C256" r:id="rId207" display="http://budjetti.vm.fi/indox/sisalto.jsp?year=2016&amp;lang=fi&amp;maindoc=/2016/aky/aky.xml&amp;id=/2016/aky/YksityiskohtaisetPerustelut/25/30/01/01.html" xr:uid="{00000000-0004-0000-0600-0000CE000000}"/>
    <hyperlink ref="B258" r:id="rId208" display="http://budjetti.vm.fi/indox/sisalto.jsp?year=2016&amp;lang=fi&amp;maindoc=/2016/aky/aky.xml&amp;id=/2016/aky/YksityiskohtaisetPerustelut/25/40/40.html" xr:uid="{00000000-0004-0000-0600-0000CF000000}"/>
    <hyperlink ref="C259" r:id="rId209" display="http://budjetti.vm.fi/indox/sisalto.jsp?year=2016&amp;lang=fi&amp;maindoc=/2016/aky/aky.xml&amp;id=/2016/aky/YksityiskohtaisetPerustelut/25/40/01/01.html" xr:uid="{00000000-0004-0000-0600-0000D0000000}"/>
    <hyperlink ref="C260" r:id="rId210" display="http://budjetti.vm.fi/indox/sisalto.jsp?year=2016&amp;lang=fi&amp;maindoc=/2016/aky/aky.xml&amp;id=/2016/aky/YksityiskohtaisetPerustelut/25/40/74/74.html" xr:uid="{00000000-0004-0000-0600-0000D1000000}"/>
    <hyperlink ref="B262" r:id="rId211" display="http://budjetti.vm.fi/indox/sisalto.jsp?year=2016&amp;lang=fi&amp;maindoc=/2016/aky/aky.xml&amp;id=/2016/aky/YksityiskohtaisetPerustelut/25/50/50.html" xr:uid="{00000000-0004-0000-0600-0000D2000000}"/>
    <hyperlink ref="C263" r:id="rId212" display="http://budjetti.vm.fi/indox/sisalto.jsp?year=2016&amp;lang=fi&amp;maindoc=/2016/aky/aky.xml&amp;id=/2016/aky/YksityiskohtaisetPerustelut/25/50/20/20.html" xr:uid="{00000000-0004-0000-0600-0000D3000000}"/>
    <hyperlink ref="B265" r:id="rId213" display="http://budjetti.vm.fi/indox/sisalto.jsp?year=2016&amp;lang=fi&amp;maindoc=/2016/aky/aky.xml&amp;id=/2016/aky/YksityiskohtaisetPerustelut/26/26.html" xr:uid="{00000000-0004-0000-0600-0000D4000000}"/>
    <hyperlink ref="B267" r:id="rId214" display="http://budjetti.vm.fi/indox/sisalto.jsp?year=2016&amp;lang=fi&amp;maindoc=/2016/aky/aky.xml&amp;id=/2016/aky/YksityiskohtaisetPerustelut/26/01/01.html" xr:uid="{00000000-0004-0000-0600-0000D5000000}"/>
    <hyperlink ref="C268" r:id="rId215" display="http://budjetti.vm.fi/indox/sisalto.jsp?year=2016&amp;lang=fi&amp;maindoc=/2016/aky/aky.xml&amp;id=/2016/aky/YksityiskohtaisetPerustelut/26/01/01/01.html" xr:uid="{00000000-0004-0000-0600-0000D6000000}"/>
    <hyperlink ref="C269" r:id="rId216" display="http://budjetti.vm.fi/indox/sisalto.jsp?year=2016&amp;lang=fi&amp;maindoc=/2016/aky/aky.xml&amp;id=/2016/aky/YksityiskohtaisetPerustelut/26/01/03/03.html" xr:uid="{00000000-0004-0000-0600-0000D7000000}"/>
    <hyperlink ref="C270" r:id="rId217" display="http://budjetti.vm.fi/indox/sisalto.jsp?year=2016&amp;lang=fi&amp;maindoc=/2016/aky/aky.xml&amp;id=/2016/aky/YksityiskohtaisetPerustelut/26/01/20/20.html" xr:uid="{00000000-0004-0000-0600-0000D8000000}"/>
    <hyperlink ref="C271" r:id="rId218" display="http://budjetti.vm.fi/indox/sisalto.jsp?year=2016&amp;lang=fi&amp;maindoc=/2016/aky/aky.xml&amp;id=/2016/aky/YksityiskohtaisetPerustelut/26/01/23/23.html" xr:uid="{00000000-0004-0000-0600-0000D9000000}"/>
    <hyperlink ref="C272" r:id="rId219" display="http://budjetti.vm.fi/indox/sisalto.jsp?year=2016&amp;lang=fi&amp;maindoc=/2016/aky/aky.xml&amp;id=/2016/aky/YksityiskohtaisetPerustelut/26/01/24/24.html" xr:uid="{00000000-0004-0000-0600-0000DA000000}"/>
    <hyperlink ref="C273" r:id="rId220" display="http://budjetti.vm.fi/indox/sisalto.jsp?year=2016&amp;lang=fi&amp;maindoc=/2016/aky/aky.xml&amp;id=/2016/aky/YksityiskohtaisetPerustelut/26/01/29/29.html" xr:uid="{00000000-0004-0000-0600-0000DB000000}"/>
    <hyperlink ref="C274" r:id="rId221" display="http://budjetti.vm.fi/indox/sisalto.jsp?year=2016&amp;lang=fi&amp;maindoc=/2016/aky/aky.xml&amp;id=/2016/aky/YksityiskohtaisetPerustelut/26/01/50/50.html" xr:uid="{00000000-0004-0000-0600-0000DC000000}"/>
    <hyperlink ref="C275" r:id="rId222" display="http://budjetti.vm.fi/indox/sisalto.jsp?year=2016&amp;lang=fi&amp;maindoc=/2016/aky/aky.xml&amp;id=/2016/aky/YksityiskohtaisetPerustelut/26/01/66/66.html" xr:uid="{00000000-0004-0000-0600-0000DD000000}"/>
    <hyperlink ref="B277" r:id="rId223" display="http://budjetti.vm.fi/indox/sisalto.jsp?year=2016&amp;lang=fi&amp;maindoc=/2016/aky/aky.xml&amp;id=/2016/aky/YksityiskohtaisetPerustelut/26/10/10.html" xr:uid="{00000000-0004-0000-0600-0000DE000000}"/>
    <hyperlink ref="C278" r:id="rId224" display="http://budjetti.vm.fi/indox/sisalto.jsp?year=2016&amp;lang=fi&amp;maindoc=/2016/aky/aky.xml&amp;id=/2016/aky/YksityiskohtaisetPerustelut/26/10/01/01.html" xr:uid="{00000000-0004-0000-0600-0000DF000000}"/>
    <hyperlink ref="C279" r:id="rId225" display="http://budjetti.vm.fi/indox/sisalto.jsp?year=2016&amp;lang=fi&amp;maindoc=/2016/aky/aky.xml&amp;id=/2016/aky/YksityiskohtaisetPerustelut/26/10/02/02.html" xr:uid="{00000000-0004-0000-0600-0000E0000000}"/>
    <hyperlink ref="C280" r:id="rId226" display="http://budjetti.vm.fi/indox/sisalto.jsp?year=2016&amp;lang=fi&amp;maindoc=/2016/aky/aky.xml&amp;id=/2016/aky/YksityiskohtaisetPerustelut/26/10/20/20.html" xr:uid="{00000000-0004-0000-0600-0000E1000000}"/>
    <hyperlink ref="C281" r:id="rId227" display="http://budjetti.vm.fi/indox/sisalto.jsp?year=2016&amp;lang=fi&amp;maindoc=/2016/aky/aky.xml&amp;id=/2016/aky/YksityiskohtaisetPerustelut/26/10/21/21.html" xr:uid="{00000000-0004-0000-0600-0000E2000000}"/>
    <hyperlink ref="B283" r:id="rId228" display="http://budjetti.vm.fi/indox/sisalto.jsp?year=2016&amp;lang=fi&amp;maindoc=/2016/aky/aky.xml&amp;id=/2016/aky/YksityiskohtaisetPerustelut/26/20/20.html" xr:uid="{00000000-0004-0000-0600-0000E3000000}"/>
    <hyperlink ref="C284" r:id="rId229" display="http://budjetti.vm.fi/indox/sisalto.jsp?year=2016&amp;lang=fi&amp;maindoc=/2016/aky/aky.xml&amp;id=/2016/aky/YksityiskohtaisetPerustelut/26/20/01/01.html" xr:uid="{00000000-0004-0000-0600-0000E4000000}"/>
    <hyperlink ref="C285" r:id="rId230" display="http://budjetti.vm.fi/indox/sisalto.jsp?year=2016&amp;lang=fi&amp;maindoc=/2016/aky/aky.xml&amp;id=/2016/aky/YksityiskohtaisetPerustelut/26/20/70/70.html" xr:uid="{00000000-0004-0000-0600-0000E5000000}"/>
    <hyperlink ref="B287" r:id="rId231" display="http://budjetti.vm.fi/indox/sisalto.jsp?year=2016&amp;lang=fi&amp;maindoc=/2016/aky/aky.xml&amp;id=/2016/aky/YksityiskohtaisetPerustelut/26/30/30.html" xr:uid="{00000000-0004-0000-0600-0000E6000000}"/>
    <hyperlink ref="C288" r:id="rId232" display="http://budjetti.vm.fi/indox/sisalto.jsp?year=2016&amp;lang=fi&amp;maindoc=/2016/aky/aky.xml&amp;id=/2016/aky/YksityiskohtaisetPerustelut/26/30/01/01.html" xr:uid="{00000000-0004-0000-0600-0000E7000000}"/>
    <hyperlink ref="C289" r:id="rId233" display="http://budjetti.vm.fi/indox/sisalto.jsp?year=2016&amp;lang=fi&amp;maindoc=/2016/aky/aky.xml&amp;id=/2016/aky/YksityiskohtaisetPerustelut/26/30/02/02.html" xr:uid="{00000000-0004-0000-0600-0000E8000000}"/>
    <hyperlink ref="C290" r:id="rId234" display="http://budjetti.vm.fi/indox/sisalto.jsp?year=2016&amp;lang=fi&amp;maindoc=/2016/aky/aky.xml&amp;id=/2016/aky/YksityiskohtaisetPerustelut/26/30/20/20.html" xr:uid="{00000000-0004-0000-0600-0000E9000000}"/>
    <hyperlink ref="C291" r:id="rId235" display="http://budjetti.vm.fi/indox/sisalto.jsp?year=2016&amp;lang=fi&amp;maindoc=/2016/aky/aky.xml&amp;id=/2016/aky/YksityiskohtaisetPerustelut/26/30/43/43.html" xr:uid="{00000000-0004-0000-0600-0000EA000000}"/>
    <hyperlink ref="B293" r:id="rId236" display="http://budjetti.vm.fi/indox/sisalto.jsp?year=2016&amp;lang=fi&amp;maindoc=/2016/aky/aky.xml&amp;id=/2016/aky/YksityiskohtaisetPerustelut/26/40/40.html" xr:uid="{00000000-0004-0000-0600-0000EB000000}"/>
    <hyperlink ref="C294" r:id="rId237" display="http://budjetti.vm.fi/indox/sisalto.jsp?year=2016&amp;lang=fi&amp;maindoc=/2016/aky/aky.xml&amp;id=/2016/aky/YksityiskohtaisetPerustelut/26/40/01/01.html" xr:uid="{00000000-0004-0000-0600-0000EC000000}"/>
    <hyperlink ref="C295" r:id="rId238" display="http://budjetti.vm.fi/indox/sisalto.jsp?year=2016&amp;lang=fi&amp;maindoc=/2016/aky/aky.xml&amp;id=/2016/aky/YksityiskohtaisetPerustelut/26/40/20/20.html" xr:uid="{00000000-0004-0000-0600-0000ED000000}"/>
    <hyperlink ref="C296" r:id="rId239" display="http://budjetti.vm.fi/indox/sisalto.jsp?year=2016&amp;lang=fi&amp;maindoc=/2016/aky/aky.xml&amp;id=/2016/aky/YksityiskohtaisetPerustelut/26/40/21/21.html" xr:uid="{00000000-0004-0000-0600-0000EE000000}"/>
    <hyperlink ref="C297" r:id="rId240" display="http://budjetti.vm.fi/indox/sisalto.jsp?year=2016&amp;lang=fi&amp;maindoc=/2016/aky/aky.xml&amp;id=/2016/aky/YksityiskohtaisetPerustelut/26/40/63/63.html" xr:uid="{00000000-0004-0000-0600-0000EF000000}"/>
    <hyperlink ref="B299" r:id="rId241" display="http://budjetti.vm.fi/indox/sisalto.jsp?year=2016&amp;lang=fi&amp;maindoc=/2016/aky/aky.xml&amp;id=/2016/aky/YksityiskohtaisetPerustelut/27/27.html" xr:uid="{00000000-0004-0000-0600-0000F0000000}"/>
    <hyperlink ref="B301" r:id="rId242" display="http://budjetti.vm.fi/indox/sisalto.jsp?year=2016&amp;lang=fi&amp;maindoc=/2016/aky/aky.xml&amp;id=/2016/aky/YksityiskohtaisetPerustelut/27/01/01.html" xr:uid="{00000000-0004-0000-0600-0000F1000000}"/>
    <hyperlink ref="C302" r:id="rId243" display="http://budjetti.vm.fi/indox/sisalto.jsp?year=2016&amp;lang=fi&amp;maindoc=/2016/aky/aky.xml&amp;id=/2016/aky/YksityiskohtaisetPerustelut/27/01/01/01.html" xr:uid="{00000000-0004-0000-0600-0000F2000000}"/>
    <hyperlink ref="C303" r:id="rId244" display="http://budjetti.vm.fi/indox/sisalto.jsp?year=2016&amp;lang=fi&amp;maindoc=/2016/aky/aky.xml&amp;id=/2016/aky/YksityiskohtaisetPerustelut/27/01/21/21.html" xr:uid="{00000000-0004-0000-0600-0000F3000000}"/>
    <hyperlink ref="C304" r:id="rId245" display="http://budjetti.vm.fi/indox/sisalto.jsp?year=2016&amp;lang=fi&amp;maindoc=/2016/aky/aky.xml&amp;id=/2016/aky/YksityiskohtaisetPerustelut/27/01/29/29.html" xr:uid="{00000000-0004-0000-0600-0000F4000000}"/>
    <hyperlink ref="B306" r:id="rId246" display="http://budjetti.vm.fi/indox/sisalto.jsp?year=2016&amp;lang=fi&amp;maindoc=/2016/aky/aky.xml&amp;id=/2016/aky/YksityiskohtaisetPerustelut/27/10/10.html" xr:uid="{00000000-0004-0000-0600-0000F5000000}"/>
    <hyperlink ref="C307" r:id="rId247" display="http://budjetti.vm.fi/indox/sisalto.jsp?year=2016&amp;lang=fi&amp;maindoc=/2016/aky/aky.xml&amp;id=/2016/aky/YksityiskohtaisetPerustelut/27/10/01/01.html" xr:uid="{00000000-0004-0000-0600-0000F6000000}"/>
    <hyperlink ref="C308" r:id="rId248" display="http://budjetti.vm.fi/indox/sisalto.jsp?year=2016&amp;lang=fi&amp;maindoc=/2016/aky/aky.xml&amp;id=/2016/aky/YksityiskohtaisetPerustelut/27/10/18/18.html" xr:uid="{00000000-0004-0000-0600-0000F7000000}"/>
    <hyperlink ref="C309" r:id="rId249" display="http://budjetti.vm.fi/indox/sisalto.jsp?year=2016&amp;lang=fi&amp;maindoc=/2016/aky/aky.xml&amp;id=/2016/aky/YksityiskohtaisetPerustelut/27/10/19/19.html" xr:uid="{00000000-0004-0000-0600-0000F8000000}"/>
    <hyperlink ref="C310" r:id="rId250" display="http://budjetti.vm.fi/indox/sisalto.jsp?year=2016&amp;lang=fi&amp;maindoc=/2016/aky/aky.xml&amp;id=/2016/aky/YksityiskohtaisetPerustelut/27/10/50/50.html" xr:uid="{00000000-0004-0000-0600-0000F9000000}"/>
    <hyperlink ref="B312" r:id="rId251" display="http://budjetti.vm.fi/indox/sisalto.jsp?year=2016&amp;lang=fi&amp;maindoc=/2016/aky/aky.xml&amp;id=/2016/aky/YksityiskohtaisetPerustelut/27/30/30.html" xr:uid="{00000000-0004-0000-0600-0000FA000000}"/>
    <hyperlink ref="C313" r:id="rId252" display="http://budjetti.vm.fi/indox/sisalto.jsp?year=2016&amp;lang=fi&amp;maindoc=/2016/aky/aky.xml&amp;id=/2016/aky/YksityiskohtaisetPerustelut/27/30/20/20.html" xr:uid="{00000000-0004-0000-0600-0000FB000000}"/>
    <hyperlink ref="C314" r:id="rId253" display="http://budjetti.vm.fi/indox/sisalto.jsp?year=2016&amp;lang=fi&amp;maindoc=/2016/aky/aky.xml&amp;id=/2016/aky/YksityiskohtaisetPerustelut/27/30/95/95.html" xr:uid="{00000000-0004-0000-0600-0000FC000000}"/>
    <hyperlink ref="B316" r:id="rId254" display="http://budjetti.vm.fi/indox/sisalto.jsp?year=2016&amp;lang=fi&amp;maindoc=/2016/aky/aky.xml&amp;id=/2016/aky/YksityiskohtaisetPerustelut/28/28.html" xr:uid="{00000000-0004-0000-0600-0000FD000000}"/>
    <hyperlink ref="B318" r:id="rId255" display="http://budjetti.vm.fi/indox/sisalto.jsp?year=2016&amp;lang=fi&amp;maindoc=/2016/aky/aky.xml&amp;id=/2016/aky/YksityiskohtaisetPerustelut/28/01/01.html" xr:uid="{00000000-0004-0000-0600-0000FE000000}"/>
    <hyperlink ref="C319" r:id="rId256" display="http://budjetti.vm.fi/indox/sisalto.jsp?year=2016&amp;lang=fi&amp;maindoc=/2016/aky/aky.xml&amp;id=/2016/aky/YksityiskohtaisetPerustelut/28/01/01/01.html" xr:uid="{00000000-0004-0000-0600-0000FF000000}"/>
    <hyperlink ref="C320" r:id="rId257" display="http://budjetti.vm.fi/indox/sisalto.jsp?year=2016&amp;lang=fi&amp;maindoc=/2016/aky/aky.xml&amp;id=/2016/aky/YksityiskohtaisetPerustelut/28/01/20/20.html" xr:uid="{00000000-0004-0000-0600-000000010000}"/>
    <hyperlink ref="C321" r:id="rId258" display="http://budjetti.vm.fi/indox/sisalto.jsp?year=2016&amp;lang=fi&amp;maindoc=/2016/aky/aky.xml&amp;id=/2016/aky/YksityiskohtaisetPerustelut/28/01/21/21.html" xr:uid="{00000000-0004-0000-0600-000001010000}"/>
    <hyperlink ref="C322" r:id="rId259" display="http://budjetti.vm.fi/indox/sisalto.jsp?year=2016&amp;lang=fi&amp;maindoc=/2016/aky/aky.xml&amp;id=/2016/aky/YksityiskohtaisetPerustelut/28/01/29/29.html" xr:uid="{00000000-0004-0000-0600-000002010000}"/>
    <hyperlink ref="B324" r:id="rId260" display="http://budjetti.vm.fi/indox/sisalto.jsp?year=2016&amp;lang=fi&amp;maindoc=/2016/aky/aky.xml&amp;id=/2016/aky/YksityiskohtaisetPerustelut/28/10/10.html" xr:uid="{00000000-0004-0000-0600-000003010000}"/>
    <hyperlink ref="C325" r:id="rId261" display="http://budjetti.vm.fi/indox/sisalto.jsp?year=2016&amp;lang=fi&amp;maindoc=/2016/aky/aky.xml&amp;id=/2016/aky/YksityiskohtaisetPerustelut/28/10/01/01.html" xr:uid="{00000000-0004-0000-0600-000004010000}"/>
    <hyperlink ref="C326" r:id="rId262" display="http://budjetti.vm.fi/indox/sisalto.jsp?year=2016&amp;lang=fi&amp;maindoc=/2016/aky/aky.xml&amp;id=/2016/aky/YksityiskohtaisetPerustelut/28/10/02/02.html" xr:uid="{00000000-0004-0000-0600-000005010000}"/>
    <hyperlink ref="C327" r:id="rId263" display="http://budjetti.vm.fi/indox/sisalto.jsp?year=2016&amp;lang=fi&amp;maindoc=/2016/aky/aky.xml&amp;id=/2016/aky/YksityiskohtaisetPerustelut/28/10/63/63.html" xr:uid="{00000000-0004-0000-0600-000006010000}"/>
    <hyperlink ref="C328" r:id="rId264" display="http://budjetti.vm.fi/indox/sisalto.jsp?year=2016&amp;lang=fi&amp;maindoc=/2016/aky/aky.xml&amp;id=/2016/aky/YksityiskohtaisetPerustelut/28/10/95/95.html" xr:uid="{00000000-0004-0000-0600-000007010000}"/>
    <hyperlink ref="C329" r:id="rId265" display="http://budjetti.vm.fi/indox/sisalto.jsp?year=2016&amp;lang=fi&amp;maindoc=/2016/aky/aky.xml&amp;id=/2016/aky/YksityiskohtaisetPerustelut/28/10/97/97.html" xr:uid="{00000000-0004-0000-0600-000008010000}"/>
    <hyperlink ref="B331" r:id="rId266" display="http://budjetti.vm.fi/indox/sisalto.jsp?year=2016&amp;lang=fi&amp;maindoc=/2016/aky/aky.xml&amp;id=/2016/aky/YksityiskohtaisetPerustelut/28/20/20.html" xr:uid="{00000000-0004-0000-0600-000009010000}"/>
    <hyperlink ref="C332" r:id="rId267" display="http://budjetti.vm.fi/indox/sisalto.jsp?year=2016&amp;lang=fi&amp;maindoc=/2016/aky/aky.xml&amp;id=/2016/aky/YksityiskohtaisetPerustelut/28/20/01/01.html" xr:uid="{00000000-0004-0000-0600-00000A010000}"/>
    <hyperlink ref="C333" r:id="rId268" display="http://budjetti.vm.fi/indox/sisalto.jsp?year=2016&amp;lang=fi&amp;maindoc=/2016/aky/aky.xml&amp;id=/2016/aky/YksityiskohtaisetPerustelut/28/20/02/02.html" xr:uid="{00000000-0004-0000-0600-00000B010000}"/>
    <hyperlink ref="C334" r:id="rId269" display="http://budjetti.vm.fi/indox/sisalto.jsp?year=2016&amp;lang=fi&amp;maindoc=/2016/aky/aky.xml&amp;id=/2016/aky/YksityiskohtaisetPerustelut/28/20/06/06.html" xr:uid="{00000000-0004-0000-0600-00000C010000}"/>
    <hyperlink ref="C335" r:id="rId270" display="http://budjetti.vm.fi/indox/sisalto.jsp?year=2016&amp;lang=fi&amp;maindoc=/2016/aky/aky.xml&amp;id=/2016/aky/YksityiskohtaisetPerustelut/28/20/07/07.html" xr:uid="{00000000-0004-0000-0600-00000D010000}"/>
    <hyperlink ref="C336" r:id="rId271" display="http://budjetti.vm.fi/indox/sisalto.jsp?year=2016&amp;lang=fi&amp;maindoc=/2016/aky/aky.xml&amp;id=/2016/aky/YksityiskohtaisetPerustelut/28/20/08/08.html" xr:uid="{00000000-0004-0000-0600-00000E010000}"/>
    <hyperlink ref="C337" r:id="rId272" display="http://budjetti.vm.fi/indox/sisalto.jsp?year=2016&amp;lang=fi&amp;maindoc=/2016/aky/aky.xml&amp;id=/2016/aky/YksityiskohtaisetPerustelut/28/20/09/09.html" xr:uid="{00000000-0004-0000-0600-00000F010000}"/>
    <hyperlink ref="C338" r:id="rId273" display="http://budjetti.vm.fi/indox/sisalto.jsp?year=2016&amp;lang=fi&amp;maindoc=/2016/aky/aky.xml&amp;id=/2016/aky/YksityiskohtaisetPerustelut/28/20/10/10.html" xr:uid="{00000000-0004-0000-0600-000010010000}"/>
    <hyperlink ref="C339" r:id="rId274" display="http://budjetti.vm.fi/indox/sisalto.jsp?year=2016&amp;lang=fi&amp;maindoc=/2016/aky/aky.xml&amp;id=/2016/aky/YksityiskohtaisetPerustelut/28/20/11/11.html" xr:uid="{00000000-0004-0000-0600-000011010000}"/>
    <hyperlink ref="C340" r:id="rId275" display="http://budjetti.vm.fi/indox/sisalto.jsp?year=2016&amp;lang=fi&amp;maindoc=/2016/aky/aky.xml&amp;id=/2016/aky/YksityiskohtaisetPerustelut/28/20/88/88.html" xr:uid="{00000000-0004-0000-0600-000012010000}"/>
    <hyperlink ref="B342" r:id="rId276" display="http://budjetti.vm.fi/indox/sisalto.jsp?year=2016&amp;lang=fi&amp;maindoc=/2016/aky/aky.xml&amp;id=/2016/aky/YksityiskohtaisetPerustelut/28/30/30.html" xr:uid="{00000000-0004-0000-0600-000013010000}"/>
    <hyperlink ref="C343" r:id="rId277" display="http://budjetti.vm.fi/indox/sisalto.jsp?year=2016&amp;lang=fi&amp;maindoc=/2016/aky/aky.xml&amp;id=/2016/aky/YksityiskohtaisetPerustelut/28/30/01/01.html" xr:uid="{00000000-0004-0000-0600-000014010000}"/>
    <hyperlink ref="C344" r:id="rId278" display="http://budjetti.vm.fi/indox/sisalto.jsp?year=2016&amp;lang=fi&amp;maindoc=/2016/aky/aky.xml&amp;id=/2016/aky/YksityiskohtaisetPerustelut/28/30/02/02.html" xr:uid="{00000000-0004-0000-0600-000015010000}"/>
    <hyperlink ref="C345" r:id="rId279" display="http://budjetti.vm.fi/indox/sisalto.jsp?year=2016&amp;lang=fi&amp;maindoc=/2016/aky/aky.xml&amp;id=/2016/aky/YksityiskohtaisetPerustelut/28/30/03/03.html" xr:uid="{00000000-0004-0000-0600-000016010000}"/>
    <hyperlink ref="B347" r:id="rId280" display="http://budjetti.vm.fi/indox/sisalto.jsp?year=2016&amp;lang=fi&amp;maindoc=/2016/aky/aky.xml&amp;id=/2016/aky/YksityiskohtaisetPerustelut/28/40/40.html" xr:uid="{00000000-0004-0000-0600-000017010000}"/>
    <hyperlink ref="C348" r:id="rId281" display="http://budjetti.vm.fi/indox/sisalto.jsp?year=2016&amp;lang=fi&amp;maindoc=/2016/aky/aky.xml&amp;id=/2016/aky/YksityiskohtaisetPerustelut/28/40/01/01.html" xr:uid="{00000000-0004-0000-0600-000018010000}"/>
    <hyperlink ref="C349" r:id="rId282" display="http://budjetti.vm.fi/indox/sisalto.jsp?year=2016&amp;lang=fi&amp;maindoc=/2016/aky/aky.xml&amp;id=/2016/aky/YksityiskohtaisetPerustelut/28/40/02/02.html" xr:uid="{00000000-0004-0000-0600-000019010000}"/>
    <hyperlink ref="C350" r:id="rId283" display="http://budjetti.vm.fi/indox/sisalto.jsp?year=2016&amp;lang=fi&amp;maindoc=/2016/aky/aky.xml&amp;id=/2016/aky/YksityiskohtaisetPerustelut/28/40/03/03.html" xr:uid="{00000000-0004-0000-0600-00001A010000}"/>
    <hyperlink ref="B352" r:id="rId284" display="http://budjetti.vm.fi/indox/sisalto.jsp?year=2016&amp;lang=fi&amp;maindoc=/2016/aky/aky.xml&amp;id=/2016/aky/YksityiskohtaisetPerustelut/28/50/50.html" xr:uid="{00000000-0004-0000-0600-00001B010000}"/>
    <hyperlink ref="C353" r:id="rId285" display="http://budjetti.vm.fi/indox/sisalto.jsp?year=2016&amp;lang=fi&amp;maindoc=/2016/aky/aky.xml&amp;id=/2016/aky/YksityiskohtaisetPerustelut/28/50/15/15.html" xr:uid="{00000000-0004-0000-0600-00001C010000}"/>
    <hyperlink ref="C354" r:id="rId286" display="http://budjetti.vm.fi/indox/sisalto.jsp?year=2016&amp;lang=fi&amp;maindoc=/2016/aky/aky.xml&amp;id=/2016/aky/YksityiskohtaisetPerustelut/28/50/16/16.html" xr:uid="{00000000-0004-0000-0600-00001D010000}"/>
    <hyperlink ref="C355" r:id="rId287" display="http://budjetti.vm.fi/indox/sisalto.jsp?year=2016&amp;lang=fi&amp;maindoc=/2016/aky/aky.xml&amp;id=/2016/aky/YksityiskohtaisetPerustelut/28/50/17/17.html" xr:uid="{00000000-0004-0000-0600-00001E010000}"/>
    <hyperlink ref="C356" r:id="rId288" display="http://budjetti.vm.fi/indox/sisalto.jsp?year=2016&amp;lang=fi&amp;maindoc=/2016/aky/aky.xml&amp;id=/2016/aky/YksityiskohtaisetPerustelut/28/50/50/50.html" xr:uid="{00000000-0004-0000-0600-00001F010000}"/>
    <hyperlink ref="C357" r:id="rId289" display="http://budjetti.vm.fi/indox/sisalto.jsp?year=2016&amp;lang=fi&amp;maindoc=/2016/aky/aky.xml&amp;id=/2016/aky/YksityiskohtaisetPerustelut/28/50/63/63.html" xr:uid="{00000000-0004-0000-0600-000020010000}"/>
    <hyperlink ref="C358" r:id="rId290" display="http://budjetti.vm.fi/indox/sisalto.jsp?year=2016&amp;lang=fi&amp;maindoc=/2016/aky/aky.xml&amp;id=/2016/aky/YksityiskohtaisetPerustelut/28/50/95/95.html" xr:uid="{00000000-0004-0000-0600-000021010000}"/>
    <hyperlink ref="B360" r:id="rId291" display="http://budjetti.vm.fi/indox/sisalto.jsp?year=2016&amp;lang=fi&amp;maindoc=/2016/aky/aky.xml&amp;id=/2016/aky/YksityiskohtaisetPerustelut/28/60/60.html" xr:uid="{00000000-0004-0000-0600-000022010000}"/>
    <hyperlink ref="C361" r:id="rId292" display="http://budjetti.vm.fi/indox/sisalto.jsp?year=2016&amp;lang=fi&amp;maindoc=/2016/aky/aky.xml&amp;id=/2016/aky/YksityiskohtaisetPerustelut/28/60/02/02.html" xr:uid="{00000000-0004-0000-0600-000023010000}"/>
    <hyperlink ref="C362" r:id="rId293" display="http://budjetti.vm.fi/indox/sisalto.jsp?year=2016&amp;lang=fi&amp;maindoc=/2016/aky/aky.xml&amp;id=/2016/aky/YksityiskohtaisetPerustelut/28/60/10/10.html" xr:uid="{00000000-0004-0000-0600-000024010000}"/>
    <hyperlink ref="C363" r:id="rId294" display="http://budjetti.vm.fi/indox/sisalto.jsp?year=2016&amp;lang=fi&amp;maindoc=/2016/aky/aky.xml&amp;id=/2016/aky/YksityiskohtaisetPerustelut/28/60/12/12.html" xr:uid="{00000000-0004-0000-0600-000025010000}"/>
    <hyperlink ref="C364" r:id="rId295" display="http://budjetti.vm.fi/indox/sisalto.jsp?year=2016&amp;lang=fi&amp;maindoc=/2016/aky/aky.xml&amp;id=/2016/aky/YksityiskohtaisetPerustelut/28/60/60/60.html" xr:uid="{00000000-0004-0000-0600-000026010000}"/>
    <hyperlink ref="B366" r:id="rId296" display="http://budjetti.vm.fi/indox/sisalto.jsp?year=2016&amp;lang=fi&amp;maindoc=/2016/aky/aky.xml&amp;id=/2016/aky/YksityiskohtaisetPerustelut/28/70/70.html" xr:uid="{00000000-0004-0000-0600-000027010000}"/>
    <hyperlink ref="C367" r:id="rId297" display="http://budjetti.vm.fi/indox/sisalto.jsp?year=2016&amp;lang=fi&amp;maindoc=/2016/aky/aky.xml&amp;id=/2016/aky/YksityiskohtaisetPerustelut/28/70/01/01.html" xr:uid="{00000000-0004-0000-0600-000028010000}"/>
    <hyperlink ref="C368" r:id="rId298" display="http://budjetti.vm.fi/indox/sisalto.jsp?year=2016&amp;lang=fi&amp;maindoc=/2016/aky/aky.xml&amp;id=/2016/aky/YksityiskohtaisetPerustelut/28/70/02/02.html" xr:uid="{00000000-0004-0000-0600-000029010000}"/>
    <hyperlink ref="C369" r:id="rId299" display="http://budjetti.vm.fi/indox/sisalto.jsp?year=2016&amp;lang=fi&amp;maindoc=/2016/aky/aky.xml&amp;id=/2016/aky/YksityiskohtaisetPerustelut/28/70/03/03.html" xr:uid="{00000000-0004-0000-0600-00002A010000}"/>
    <hyperlink ref="C370" r:id="rId300" display="http://budjetti.vm.fi/indox/sisalto.jsp?year=2016&amp;lang=fi&amp;maindoc=/2016/aky/aky.xml&amp;id=/2016/aky/YksityiskohtaisetPerustelut/28/70/20/20.html" xr:uid="{00000000-0004-0000-0600-00002B010000}"/>
    <hyperlink ref="C371" r:id="rId301" display="http://budjetti.vm.fi/indox/sisalto.jsp?year=2016&amp;lang=fi&amp;maindoc=/2016/aky/aky.xml&amp;id=/2016/aky/YksityiskohtaisetPerustelut/28/70/21/21.html" xr:uid="{00000000-0004-0000-0600-00002C010000}"/>
    <hyperlink ref="C372" r:id="rId302" display="http://budjetti.vm.fi/indox/sisalto.jsp?year=2016&amp;lang=fi&amp;maindoc=/2016/aky/aky.xml&amp;id=/2016/aky/YksityiskohtaisetPerustelut/28/70/22/22.html" xr:uid="{00000000-0004-0000-0600-00002D010000}"/>
    <hyperlink ref="B374" r:id="rId303" display="http://budjetti.vm.fi/indox/sisalto.jsp?year=2016&amp;lang=fi&amp;maindoc=/2016/aky/aky.xml&amp;id=/2016/aky/YksityiskohtaisetPerustelut/28/80/80.html" xr:uid="{00000000-0004-0000-0600-00002E010000}"/>
    <hyperlink ref="C375" r:id="rId304" display="http://budjetti.vm.fi/indox/sisalto.jsp?year=2016&amp;lang=fi&amp;maindoc=/2016/aky/aky.xml&amp;id=/2016/aky/YksityiskohtaisetPerustelut/28/80/30/30.html" xr:uid="{00000000-0004-0000-0600-00002F010000}"/>
    <hyperlink ref="C376" r:id="rId305" display="http://budjetti.vm.fi/indox/sisalto.jsp?year=2016&amp;lang=fi&amp;maindoc=/2016/aky/aky.xml&amp;id=/2016/aky/YksityiskohtaisetPerustelut/28/80/31/31.html" xr:uid="{00000000-0004-0000-0600-000030010000}"/>
    <hyperlink ref="C377" r:id="rId306" display="http://budjetti.vm.fi/indox/sisalto.jsp?year=2016&amp;lang=fi&amp;maindoc=/2016/aky/aky.xml&amp;id=/2016/aky/YksityiskohtaisetPerustelut/28/80/33/33.html" xr:uid="{00000000-0004-0000-0600-000031010000}"/>
    <hyperlink ref="B379" r:id="rId307" display="http://budjetti.vm.fi/indox/sisalto.jsp?year=2016&amp;lang=fi&amp;maindoc=/2016/aky/aky.xml&amp;id=/2016/aky/YksityiskohtaisetPerustelut/28/90/90.html" xr:uid="{00000000-0004-0000-0600-000032010000}"/>
    <hyperlink ref="C380" r:id="rId308" display="http://budjetti.vm.fi/indox/sisalto.jsp?year=2016&amp;lang=fi&amp;maindoc=/2016/aky/aky.xml&amp;id=/2016/aky/YksityiskohtaisetPerustelut/28/90/20/20.html" xr:uid="{00000000-0004-0000-0600-000033010000}"/>
    <hyperlink ref="C381" r:id="rId309" display="http://budjetti.vm.fi/indox/sisalto.jsp?year=2016&amp;lang=fi&amp;maindoc=/2016/aky/aky.xml&amp;id=/2016/aky/YksityiskohtaisetPerustelut/28/90/22/22.html" xr:uid="{00000000-0004-0000-0600-000034010000}"/>
    <hyperlink ref="C382" r:id="rId310" display="http://budjetti.vm.fi/indox/sisalto.jsp?year=2016&amp;lang=fi&amp;maindoc=/2016/aky/aky.xml&amp;id=/2016/aky/YksityiskohtaisetPerustelut/28/90/30/30.html" xr:uid="{00000000-0004-0000-0600-000035010000}"/>
    <hyperlink ref="C383" r:id="rId311" display="http://budjetti.vm.fi/indox/sisalto.jsp?year=2016&amp;lang=fi&amp;maindoc=/2016/aky/aky.xml&amp;id=/2016/aky/YksityiskohtaisetPerustelut/28/90/31/31.html" xr:uid="{00000000-0004-0000-0600-000036010000}"/>
    <hyperlink ref="C384" r:id="rId312" display="http://budjetti.vm.fi/indox/sisalto.jsp?year=2016&amp;lang=fi&amp;maindoc=/2016/aky/aky.xml&amp;id=/2016/aky/YksityiskohtaisetPerustelut/28/90/34/34.html" xr:uid="{00000000-0004-0000-0600-000037010000}"/>
    <hyperlink ref="B386" r:id="rId313" display="http://budjetti.vm.fi/indox/sisalto.jsp?year=2016&amp;lang=fi&amp;maindoc=/2016/aky/aky.xml&amp;id=/2016/aky/YksityiskohtaisetPerustelut/28/91/91.html" xr:uid="{00000000-0004-0000-0600-000038010000}"/>
    <hyperlink ref="C387" r:id="rId314" display="http://budjetti.vm.fi/indox/sisalto.jsp?year=2016&amp;lang=fi&amp;maindoc=/2016/aky/aky.xml&amp;id=/2016/aky/YksityiskohtaisetPerustelut/28/91/41/41.html" xr:uid="{00000000-0004-0000-0600-000039010000}"/>
    <hyperlink ref="B389" r:id="rId315" display="http://budjetti.vm.fi/indox/sisalto.jsp?year=2016&amp;lang=fi&amp;maindoc=/2016/aky/aky.xml&amp;id=/2016/aky/YksityiskohtaisetPerustelut/28/92/92.html" xr:uid="{00000000-0004-0000-0600-00003A010000}"/>
    <hyperlink ref="C390" r:id="rId316" display="http://budjetti.vm.fi/indox/sisalto.jsp?year=2016&amp;lang=fi&amp;maindoc=/2016/aky/aky.xml&amp;id=/2016/aky/YksityiskohtaisetPerustelut/28/92/03/03.html" xr:uid="{00000000-0004-0000-0600-00003B010000}"/>
    <hyperlink ref="C391" r:id="rId317" display="http://budjetti.vm.fi/indox/sisalto.jsp?year=2016&amp;lang=fi&amp;maindoc=/2016/aky/aky.xml&amp;id=/2016/aky/YksityiskohtaisetPerustelut/28/92/20/20.html" xr:uid="{00000000-0004-0000-0600-00003C010000}"/>
    <hyperlink ref="C392" r:id="rId318" display="http://budjetti.vm.fi/indox/sisalto.jsp?year=2016&amp;lang=fi&amp;maindoc=/2016/aky/aky.xml&amp;id=/2016/aky/YksityiskohtaisetPerustelut/28/92/40/40.html" xr:uid="{00000000-0004-0000-0600-00003D010000}"/>
    <hyperlink ref="C393" r:id="rId319" display="http://budjetti.vm.fi/indox/sisalto.jsp?year=2016&amp;lang=fi&amp;maindoc=/2016/aky/aky.xml&amp;id=/2016/aky/YksityiskohtaisetPerustelut/28/92/67/67.html" xr:uid="{00000000-0004-0000-0600-00003E010000}"/>
    <hyperlink ref="C394" r:id="rId320" display="http://budjetti.vm.fi/indox/sisalto.jsp?year=2016&amp;lang=fi&amp;maindoc=/2016/aky/aky.xml&amp;id=/2016/aky/YksityiskohtaisetPerustelut/28/92/69/69.html" xr:uid="{00000000-0004-0000-0600-00003F010000}"/>
    <hyperlink ref="C395" r:id="rId321" display="http://budjetti.vm.fi/indox/sisalto.jsp?year=2016&amp;lang=fi&amp;maindoc=/2016/aky/aky.xml&amp;id=/2016/aky/YksityiskohtaisetPerustelut/28/92/87/87.html" xr:uid="{00000000-0004-0000-0600-000040010000}"/>
    <hyperlink ref="C396" r:id="rId322" display="http://budjetti.vm.fi/indox/sisalto.jsp?year=2016&amp;lang=fi&amp;maindoc=/2016/aky/aky.xml&amp;id=/2016/aky/YksityiskohtaisetPerustelut/28/92/95/95.html" xr:uid="{00000000-0004-0000-0600-000041010000}"/>
    <hyperlink ref="B398" r:id="rId323" display="http://budjetti.vm.fi/indox/sisalto.jsp?year=2016&amp;lang=fi&amp;maindoc=/2016/aky/aky.xml&amp;id=/2016/aky/YksityiskohtaisetPerustelut/28/99/99.html" xr:uid="{00000000-0004-0000-0600-000042010000}"/>
    <hyperlink ref="C399" r:id="rId324" display="http://budjetti.vm.fi/indox/sisalto.jsp?year=2016&amp;lang=fi&amp;maindoc=/2016/aky/aky.xml&amp;id=/2016/aky/YksityiskohtaisetPerustelut/28/99/95/95.html" xr:uid="{00000000-0004-0000-0600-000043010000}"/>
    <hyperlink ref="C400" r:id="rId325" display="http://budjetti.vm.fi/indox/sisalto.jsp?year=2016&amp;lang=fi&amp;maindoc=/2016/aky/aky.xml&amp;id=/2016/aky/YksityiskohtaisetPerustelut/28/99/96/96.html" xr:uid="{00000000-0004-0000-0600-000044010000}"/>
    <hyperlink ref="C401" r:id="rId326" display="http://budjetti.vm.fi/indox/sisalto.jsp?year=2016&amp;lang=fi&amp;maindoc=/2016/aky/aky.xml&amp;id=/2016/aky/YksityiskohtaisetPerustelut/28/99/97/97.html" xr:uid="{00000000-0004-0000-0600-000045010000}"/>
    <hyperlink ref="C402" r:id="rId327" display="http://budjetti.vm.fi/indox/sisalto.jsp?year=2016&amp;lang=fi&amp;maindoc=/2016/aky/aky.xml&amp;id=/2016/aky/YksityiskohtaisetPerustelut/28/99/98/98.html" xr:uid="{00000000-0004-0000-0600-000046010000}"/>
    <hyperlink ref="B404" r:id="rId328" display="http://budjetti.vm.fi/indox/sisalto.jsp?year=2016&amp;lang=fi&amp;maindoc=/2016/aky/aky.xml&amp;id=/2016/aky/YksityiskohtaisetPerustelut/29/29.html" xr:uid="{00000000-0004-0000-0600-000047010000}"/>
    <hyperlink ref="B406" r:id="rId329" display="http://budjetti.vm.fi/indox/sisalto.jsp?year=2016&amp;lang=fi&amp;maindoc=/2016/aky/aky.xml&amp;id=/2016/aky/YksityiskohtaisetPerustelut/29/01/01.html" xr:uid="{00000000-0004-0000-0600-000048010000}"/>
    <hyperlink ref="C407" r:id="rId330" display="http://budjetti.vm.fi/indox/sisalto.jsp?year=2016&amp;lang=fi&amp;maindoc=/2016/aky/aky.xml&amp;id=/2016/aky/YksityiskohtaisetPerustelut/29/01/01/01.html" xr:uid="{00000000-0004-0000-0600-000049010000}"/>
    <hyperlink ref="C408" r:id="rId331" display="http://budjetti.vm.fi/indox/sisalto.jsp?year=2016&amp;lang=fi&amp;maindoc=/2016/aky/aky.xml&amp;id=/2016/aky/YksityiskohtaisetPerustelut/29/01/02/02.html" xr:uid="{00000000-0004-0000-0600-00004A010000}"/>
    <hyperlink ref="C409" r:id="rId332" display="http://budjetti.vm.fi/indox/sisalto.jsp?year=2016&amp;lang=fi&amp;maindoc=/2016/aky/aky.xml&amp;id=/2016/aky/YksityiskohtaisetPerustelut/29/01/03/03.html" xr:uid="{00000000-0004-0000-0600-00004B010000}"/>
    <hyperlink ref="C410" r:id="rId333" display="http://budjetti.vm.fi/indox/sisalto.jsp?year=2016&amp;lang=fi&amp;maindoc=/2016/aky/aky.xml&amp;id=/2016/aky/YksityiskohtaisetPerustelut/29/01/04/04.html" xr:uid="{00000000-0004-0000-0600-00004C010000}"/>
    <hyperlink ref="C411" r:id="rId334" display="http://budjetti.vm.fi/indox/sisalto.jsp?year=2016&amp;lang=fi&amp;maindoc=/2016/aky/aky.xml&amp;id=/2016/aky/YksityiskohtaisetPerustelut/29/01/21/21.html" xr:uid="{00000000-0004-0000-0600-00004D010000}"/>
    <hyperlink ref="C412" r:id="rId335" display="http://budjetti.vm.fi/indox/sisalto.jsp?year=2016&amp;lang=fi&amp;maindoc=/2016/aky/aky.xml&amp;id=/2016/aky/YksityiskohtaisetPerustelut/29/01/22/22.html" xr:uid="{00000000-0004-0000-0600-00004E010000}"/>
    <hyperlink ref="C413" r:id="rId336" display="http://budjetti.vm.fi/indox/sisalto.jsp?year=2016&amp;lang=fi&amp;maindoc=/2016/aky/aky.xml&amp;id=/2016/aky/YksityiskohtaisetPerustelut/29/01/29/29.html" xr:uid="{00000000-0004-0000-0600-00004F010000}"/>
    <hyperlink ref="C414" r:id="rId337" display="http://budjetti.vm.fi/indox/sisalto.jsp?year=2016&amp;lang=fi&amp;maindoc=/2016/aky/aky.xml&amp;id=/2016/aky/YksityiskohtaisetPerustelut/29/01/50/50.html" xr:uid="{00000000-0004-0000-0600-000050010000}"/>
    <hyperlink ref="C415" r:id="rId338" display="http://budjetti.vm.fi/indox/sisalto.jsp?year=2016&amp;lang=fi&amp;maindoc=/2016/aky/aky.xml&amp;id=/2016/aky/YksityiskohtaisetPerustelut/29/01/51/51.html" xr:uid="{00000000-0004-0000-0600-000051010000}"/>
    <hyperlink ref="C416" r:id="rId339" display="http://budjetti.vm.fi/indox/sisalto.jsp?year=2016&amp;lang=fi&amp;maindoc=/2016/aky/aky.xml&amp;id=/2016/aky/YksityiskohtaisetPerustelut/29/01/52/52.html" xr:uid="{00000000-0004-0000-0600-000052010000}"/>
    <hyperlink ref="C417" r:id="rId340" display="http://budjetti.vm.fi/indox/sisalto.jsp?year=2016&amp;lang=fi&amp;maindoc=/2016/aky/aky.xml&amp;id=/2016/aky/YksityiskohtaisetPerustelut/29/01/53/53.html" xr:uid="{00000000-0004-0000-0600-000053010000}"/>
    <hyperlink ref="C418" r:id="rId341" display="http://budjetti.vm.fi/indox/sisalto.jsp?year=2016&amp;lang=fi&amp;maindoc=/2016/aky/aky.xml&amp;id=/2016/aky/YksityiskohtaisetPerustelut/29/01/66/66.html" xr:uid="{00000000-0004-0000-0600-000054010000}"/>
    <hyperlink ref="B420" r:id="rId342" display="http://budjetti.vm.fi/indox/sisalto.jsp?year=2016&amp;lang=fi&amp;maindoc=/2016/aky/aky.xml&amp;id=/2016/aky/YksityiskohtaisetPerustelut/29/10/10.html" xr:uid="{00000000-0004-0000-0600-000055010000}"/>
    <hyperlink ref="C421" r:id="rId343" display="http://budjetti.vm.fi/indox/sisalto.jsp?year=2016&amp;lang=fi&amp;maindoc=/2016/aky/aky.xml&amp;id=/2016/aky/YksityiskohtaisetPerustelut/29/10/01/01.html" xr:uid="{00000000-0004-0000-0600-000056010000}"/>
    <hyperlink ref="C422" r:id="rId344" display="http://budjetti.vm.fi/indox/sisalto.jsp?year=2016&amp;lang=fi&amp;maindoc=/2016/aky/aky.xml&amp;id=/2016/aky/YksityiskohtaisetPerustelut/29/10/02/02.html" xr:uid="{00000000-0004-0000-0600-000057010000}"/>
    <hyperlink ref="C423" r:id="rId345" display="http://budjetti.vm.fi/indox/sisalto.jsp?year=2016&amp;lang=fi&amp;maindoc=/2016/aky/aky.xml&amp;id=/2016/aky/YksityiskohtaisetPerustelut/29/10/20/20.html" xr:uid="{00000000-0004-0000-0600-000058010000}"/>
    <hyperlink ref="C424" r:id="rId346" display="http://budjetti.vm.fi/indox/sisalto.jsp?year=2016&amp;lang=fi&amp;maindoc=/2016/aky/aky.xml&amp;id=/2016/aky/YksityiskohtaisetPerustelut/29/10/30/30.html" xr:uid="{00000000-0004-0000-0600-000059010000}"/>
    <hyperlink ref="C425" r:id="rId347" display="http://budjetti.vm.fi/indox/sisalto.jsp?year=2016&amp;lang=fi&amp;maindoc=/2016/aky/aky.xml&amp;id=/2016/aky/YksityiskohtaisetPerustelut/29/10/51/51.html" xr:uid="{00000000-0004-0000-0600-00005A010000}"/>
    <hyperlink ref="B427" r:id="rId348" display="http://budjetti.vm.fi/indox/sisalto.jsp?year=2016&amp;lang=fi&amp;maindoc=/2016/aky/aky.xml&amp;id=/2016/aky/YksityiskohtaisetPerustelut/29/20/20.html" xr:uid="{00000000-0004-0000-0600-00005B010000}"/>
    <hyperlink ref="C428" r:id="rId349" display="http://budjetti.vm.fi/indox/sisalto.jsp?year=2016&amp;lang=fi&amp;maindoc=/2016/aky/aky.xml&amp;id=/2016/aky/YksityiskohtaisetPerustelut/29/20/01/01.html" xr:uid="{00000000-0004-0000-0600-00005C010000}"/>
    <hyperlink ref="C429" r:id="rId350" display="http://budjetti.vm.fi/indox/sisalto.jsp?year=2016&amp;lang=fi&amp;maindoc=/2016/aky/aky.xml&amp;id=/2016/aky/YksityiskohtaisetPerustelut/29/20/21/21.html" xr:uid="{00000000-0004-0000-0600-00005D010000}"/>
    <hyperlink ref="C430" r:id="rId351" display="http://budjetti.vm.fi/indox/sisalto.jsp?year=2016&amp;lang=fi&amp;maindoc=/2016/aky/aky.xml&amp;id=/2016/aky/YksityiskohtaisetPerustelut/29/20/30/30.html" xr:uid="{00000000-0004-0000-0600-00005E010000}"/>
    <hyperlink ref="B432" r:id="rId352" display="http://budjetti.vm.fi/indox/sisalto.jsp?year=2016&amp;lang=fi&amp;maindoc=/2016/aky/aky.xml&amp;id=/2016/aky/YksityiskohtaisetPerustelut/29/30/30.html" xr:uid="{00000000-0004-0000-0600-00005F010000}"/>
    <hyperlink ref="C433" r:id="rId353" display="http://budjetti.vm.fi/indox/sisalto.jsp?year=2016&amp;lang=fi&amp;maindoc=/2016/aky/aky.xml&amp;id=/2016/aky/YksityiskohtaisetPerustelut/29/30/20/20.html" xr:uid="{00000000-0004-0000-0600-000060010000}"/>
    <hyperlink ref="C434" r:id="rId354" display="http://budjetti.vm.fi/indox/sisalto.jsp?year=2016&amp;lang=fi&amp;maindoc=/2016/aky/aky.xml&amp;id=/2016/aky/YksityiskohtaisetPerustelut/29/30/21/21.html" xr:uid="{00000000-0004-0000-0600-000061010000}"/>
    <hyperlink ref="C435" r:id="rId355" display="http://budjetti.vm.fi/indox/sisalto.jsp?year=2016&amp;lang=fi&amp;maindoc=/2016/aky/aky.xml&amp;id=/2016/aky/YksityiskohtaisetPerustelut/29/30/30/30.html" xr:uid="{00000000-0004-0000-0600-000062010000}"/>
    <hyperlink ref="C436" r:id="rId356" display="http://budjetti.vm.fi/indox/sisalto.jsp?year=2016&amp;lang=fi&amp;maindoc=/2016/aky/aky.xml&amp;id=/2016/aky/YksityiskohtaisetPerustelut/29/30/31/31.html" xr:uid="{00000000-0004-0000-0600-000063010000}"/>
    <hyperlink ref="C437" r:id="rId357" display="http://budjetti.vm.fi/indox/sisalto.jsp?year=2016&amp;lang=fi&amp;maindoc=/2016/aky/aky.xml&amp;id=/2016/aky/YksityiskohtaisetPerustelut/29/30/32/32.html" xr:uid="{00000000-0004-0000-0600-000064010000}"/>
    <hyperlink ref="C438" r:id="rId358" display="http://budjetti.vm.fi/indox/sisalto.jsp?year=2016&amp;lang=fi&amp;maindoc=/2016/aky/aky.xml&amp;id=/2016/aky/YksityiskohtaisetPerustelut/29/30/33/33.html" xr:uid="{00000000-0004-0000-0600-000065010000}"/>
    <hyperlink ref="C439" r:id="rId359" display="http://budjetti.vm.fi/indox/sisalto.jsp?year=2016&amp;lang=fi&amp;maindoc=/2016/aky/aky.xml&amp;id=/2016/aky/YksityiskohtaisetPerustelut/29/30/51/51.html" xr:uid="{00000000-0004-0000-0600-000066010000}"/>
    <hyperlink ref="C440" r:id="rId360" display="http://budjetti.vm.fi/indox/sisalto.jsp?year=2016&amp;lang=fi&amp;maindoc=/2016/aky/aky.xml&amp;id=/2016/aky/YksityiskohtaisetPerustelut/29/30/53/53.html" xr:uid="{00000000-0004-0000-0600-000067010000}"/>
    <hyperlink ref="B442" r:id="rId361" display="http://budjetti.vm.fi/indox/sisalto.jsp?year=2016&amp;lang=fi&amp;maindoc=/2016/aky/aky.xml&amp;id=/2016/aky/YksityiskohtaisetPerustelut/29/40/40.html" xr:uid="{00000000-0004-0000-0600-000068010000}"/>
    <hyperlink ref="C443" r:id="rId362" display="http://budjetti.vm.fi/indox/sisalto.jsp?year=2016&amp;lang=fi&amp;maindoc=/2016/aky/aky.xml&amp;id=/2016/aky/YksityiskohtaisetPerustelut/29/40/01/01.html" xr:uid="{00000000-0004-0000-0600-000069010000}"/>
    <hyperlink ref="C444" r:id="rId363" display="http://budjetti.vm.fi/indox/sisalto.jsp?year=2016&amp;lang=fi&amp;maindoc=/2016/aky/aky.xml&amp;id=/2016/aky/YksityiskohtaisetPerustelut/29/40/02/02.html" xr:uid="{00000000-0004-0000-0600-00006A010000}"/>
    <hyperlink ref="C445" r:id="rId364" display="http://budjetti.vm.fi/indox/sisalto.jsp?year=2016&amp;lang=fi&amp;maindoc=/2016/aky/aky.xml&amp;id=/2016/aky/YksityiskohtaisetPerustelut/29/40/03/03.html" xr:uid="{00000000-0004-0000-0600-00006B010000}"/>
    <hyperlink ref="C446" r:id="rId365" display="http://budjetti.vm.fi/indox/sisalto.jsp?year=2016&amp;lang=fi&amp;maindoc=/2016/aky/aky.xml&amp;id=/2016/aky/YksityiskohtaisetPerustelut/29/40/04/04.html" xr:uid="{00000000-0004-0000-0600-00006C010000}"/>
    <hyperlink ref="C447" r:id="rId366" display="http://budjetti.vm.fi/indox/sisalto.jsp?year=2016&amp;lang=fi&amp;maindoc=/2016/aky/aky.xml&amp;id=/2016/aky/YksityiskohtaisetPerustelut/29/40/20/20.html" xr:uid="{00000000-0004-0000-0600-00006D010000}"/>
    <hyperlink ref="C448" r:id="rId367" display="http://budjetti.vm.fi/indox/sisalto.jsp?year=2016&amp;lang=fi&amp;maindoc=/2016/aky/aky.xml&amp;id=/2016/aky/YksityiskohtaisetPerustelut/29/40/22/22.html" xr:uid="{00000000-0004-0000-0600-00006E010000}"/>
    <hyperlink ref="C449" r:id="rId368" display="http://budjetti.vm.fi/indox/sisalto.jsp?year=2016&amp;lang=fi&amp;maindoc=/2016/aky/aky.xml&amp;id=/2016/aky/YksityiskohtaisetPerustelut/29/40/50/50.html" xr:uid="{00000000-0004-0000-0600-00006F010000}"/>
    <hyperlink ref="C450" r:id="rId369" display="http://budjetti.vm.fi/indox/sisalto.jsp?year=2016&amp;lang=fi&amp;maindoc=/2016/aky/aky.xml&amp;id=/2016/aky/YksityiskohtaisetPerustelut/29/40/51/51.html" xr:uid="{00000000-0004-0000-0600-000070010000}"/>
    <hyperlink ref="C451" r:id="rId370" display="http://budjetti.vm.fi/indox/sisalto.jsp?year=2016&amp;lang=fi&amp;maindoc=/2016/aky/aky.xml&amp;id=/2016/aky/YksityiskohtaisetPerustelut/29/40/52/52.html" xr:uid="{00000000-0004-0000-0600-000071010000}"/>
    <hyperlink ref="C452" r:id="rId371" display="http://budjetti.vm.fi/indox/sisalto.jsp?year=2016&amp;lang=fi&amp;maindoc=/2016/aky/aky.xml&amp;id=/2016/aky/YksityiskohtaisetPerustelut/29/40/53/53.html" xr:uid="{00000000-0004-0000-0600-000072010000}"/>
    <hyperlink ref="C453" r:id="rId372" display="http://budjetti.vm.fi/indox/sisalto.jsp?year=2016&amp;lang=fi&amp;maindoc=/2016/aky/aky.xml&amp;id=/2016/aky/YksityiskohtaisetPerustelut/29/40/54/54.html" xr:uid="{00000000-0004-0000-0600-000073010000}"/>
    <hyperlink ref="C454" r:id="rId373" display="http://budjetti.vm.fi/indox/sisalto.jsp?year=2016&amp;lang=fi&amp;maindoc=/2016/aky/aky.xml&amp;id=/2016/aky/YksityiskohtaisetPerustelut/29/40/55/55.html" xr:uid="{00000000-0004-0000-0600-000074010000}"/>
    <hyperlink ref="C455" r:id="rId374" display="http://budjetti.vm.fi/indox/sisalto.jsp?year=2016&amp;lang=fi&amp;maindoc=/2016/aky/aky.xml&amp;id=/2016/aky/YksityiskohtaisetPerustelut/29/40/66/66.html" xr:uid="{00000000-0004-0000-0600-000075010000}"/>
    <hyperlink ref="B457" r:id="rId375" display="http://budjetti.vm.fi/indox/sisalto.jsp?year=2016&amp;lang=fi&amp;maindoc=/2016/aky/aky.xml&amp;id=/2016/aky/YksityiskohtaisetPerustelut/29/70/70.html" xr:uid="{00000000-0004-0000-0600-000076010000}"/>
    <hyperlink ref="C458" r:id="rId376" display="http://budjetti.vm.fi/indox/sisalto.jsp?year=2016&amp;lang=fi&amp;maindoc=/2016/aky/aky.xml&amp;id=/2016/aky/YksityiskohtaisetPerustelut/29/70/01/01.html" xr:uid="{00000000-0004-0000-0600-000077010000}"/>
    <hyperlink ref="C459" r:id="rId377" display="http://budjetti.vm.fi/indox/sisalto.jsp?year=2016&amp;lang=fi&amp;maindoc=/2016/aky/aky.xml&amp;id=/2016/aky/YksityiskohtaisetPerustelut/29/70/52/52.html" xr:uid="{00000000-0004-0000-0600-000078010000}"/>
    <hyperlink ref="C460" r:id="rId378" display="http://budjetti.vm.fi/indox/sisalto.jsp?year=2016&amp;lang=fi&amp;maindoc=/2016/aky/aky.xml&amp;id=/2016/aky/YksityiskohtaisetPerustelut/29/70/55/55.html" xr:uid="{00000000-0004-0000-0600-000079010000}"/>
    <hyperlink ref="C461" r:id="rId379" display="http://budjetti.vm.fi/indox/sisalto.jsp?year=2016&amp;lang=fi&amp;maindoc=/2016/aky/aky.xml&amp;id=/2016/aky/YksityiskohtaisetPerustelut/29/70/57/57.html" xr:uid="{00000000-0004-0000-0600-00007A010000}"/>
    <hyperlink ref="C462" r:id="rId380" display="http://budjetti.vm.fi/indox/sisalto.jsp?year=2016&amp;lang=fi&amp;maindoc=/2016/aky/aky.xml&amp;id=/2016/aky/YksityiskohtaisetPerustelut/29/70/59/59.html" xr:uid="{00000000-0004-0000-0600-00007B010000}"/>
    <hyperlink ref="B464" r:id="rId381" display="http://budjetti.vm.fi/indox/sisalto.jsp?year=2016&amp;lang=fi&amp;maindoc=/2016/aky/aky.xml&amp;id=/2016/aky/YksityiskohtaisetPerustelut/29/80/80.html" xr:uid="{00000000-0004-0000-0600-00007C010000}"/>
    <hyperlink ref="C465" r:id="rId382" display="http://budjetti.vm.fi/indox/sisalto.jsp?year=2016&amp;lang=fi&amp;maindoc=/2016/aky/aky.xml&amp;id=/2016/aky/YksityiskohtaisetPerustelut/29/80/01/01.html" xr:uid="{00000000-0004-0000-0600-00007D010000}"/>
    <hyperlink ref="C466" r:id="rId383" display="http://budjetti.vm.fi/indox/sisalto.jsp?year=2016&amp;lang=fi&amp;maindoc=/2016/aky/aky.xml&amp;id=/2016/aky/YksityiskohtaisetPerustelut/29/80/03/03.html" xr:uid="{00000000-0004-0000-0600-00007E010000}"/>
    <hyperlink ref="C467" r:id="rId384" display="http://budjetti.vm.fi/indox/sisalto.jsp?year=2016&amp;lang=fi&amp;maindoc=/2016/aky/aky.xml&amp;id=/2016/aky/YksityiskohtaisetPerustelut/29/80/04/04.html" xr:uid="{00000000-0004-0000-0600-00007F010000}"/>
    <hyperlink ref="C468" r:id="rId385" display="http://budjetti.vm.fi/indox/sisalto.jsp?year=2016&amp;lang=fi&amp;maindoc=/2016/aky/aky.xml&amp;id=/2016/aky/YksityiskohtaisetPerustelut/29/80/05/05.html" xr:uid="{00000000-0004-0000-0600-000080010000}"/>
    <hyperlink ref="C469" r:id="rId386" display="http://budjetti.vm.fi/indox/sisalto.jsp?year=2016&amp;lang=fi&amp;maindoc=/2016/aky/aky.xml&amp;id=/2016/aky/YksityiskohtaisetPerustelut/29/80/06/06.html" xr:uid="{00000000-0004-0000-0600-000081010000}"/>
    <hyperlink ref="C470" r:id="rId387" display="http://budjetti.vm.fi/indox/sisalto.jsp?year=2016&amp;lang=fi&amp;maindoc=/2016/aky/aky.xml&amp;id=/2016/aky/YksityiskohtaisetPerustelut/29/80/16/16.html" xr:uid="{00000000-0004-0000-0600-000082010000}"/>
    <hyperlink ref="C471" r:id="rId388" display="http://budjetti.vm.fi/indox/sisalto.jsp?year=2016&amp;lang=fi&amp;maindoc=/2016/aky/aky.xml&amp;id=/2016/aky/YksityiskohtaisetPerustelut/29/80/20/20.html" xr:uid="{00000000-0004-0000-0600-000083010000}"/>
    <hyperlink ref="C472" r:id="rId389" display="http://budjetti.vm.fi/indox/sisalto.jsp?year=2016&amp;lang=fi&amp;maindoc=/2016/aky/aky.xml&amp;id=/2016/aky/YksityiskohtaisetPerustelut/29/80/30/30.html" xr:uid="{00000000-0004-0000-0600-000084010000}"/>
    <hyperlink ref="C473" r:id="rId390" display="http://budjetti.vm.fi/indox/sisalto.jsp?year=2016&amp;lang=fi&amp;maindoc=/2016/aky/aky.xml&amp;id=/2016/aky/YksityiskohtaisetPerustelut/29/80/31/31.html" xr:uid="{00000000-0004-0000-0600-000085010000}"/>
    <hyperlink ref="C474" r:id="rId391" display="http://budjetti.vm.fi/indox/sisalto.jsp?year=2016&amp;lang=fi&amp;maindoc=/2016/aky/aky.xml&amp;id=/2016/aky/YksityiskohtaisetPerustelut/29/80/32/32.html" xr:uid="{00000000-0004-0000-0600-000086010000}"/>
    <hyperlink ref="C475" r:id="rId392" display="http://budjetti.vm.fi/indox/sisalto.jsp?year=2016&amp;lang=fi&amp;maindoc=/2016/aky/aky.xml&amp;id=/2016/aky/YksityiskohtaisetPerustelut/29/80/35/35.html" xr:uid="{00000000-0004-0000-0600-000087010000}"/>
    <hyperlink ref="C476" r:id="rId393" display="http://budjetti.vm.fi/indox/sisalto.jsp?year=2016&amp;lang=fi&amp;maindoc=/2016/aky/aky.xml&amp;id=/2016/aky/YksityiskohtaisetPerustelut/29/80/40/40.html" xr:uid="{00000000-0004-0000-0600-000088010000}"/>
    <hyperlink ref="C477" r:id="rId394" display="http://budjetti.vm.fi/indox/sisalto.jsp?year=2016&amp;lang=fi&amp;maindoc=/2016/aky/aky.xml&amp;id=/2016/aky/YksityiskohtaisetPerustelut/29/80/41/41.html" xr:uid="{00000000-0004-0000-0600-000089010000}"/>
    <hyperlink ref="C478" r:id="rId395" display="http://budjetti.vm.fi/indox/sisalto.jsp?year=2016&amp;lang=fi&amp;maindoc=/2016/aky/aky.xml&amp;id=/2016/aky/YksityiskohtaisetPerustelut/29/80/50/50.html" xr:uid="{00000000-0004-0000-0600-00008A010000}"/>
    <hyperlink ref="C479" r:id="rId396" display="http://budjetti.vm.fi/indox/sisalto.jsp?year=2016&amp;lang=fi&amp;maindoc=/2016/aky/aky.xml&amp;id=/2016/aky/YksityiskohtaisetPerustelut/29/80/51/51.html" xr:uid="{00000000-0004-0000-0600-00008B010000}"/>
    <hyperlink ref="C480" r:id="rId397" display="http://budjetti.vm.fi/indox/sisalto.jsp?year=2016&amp;lang=fi&amp;maindoc=/2016/aky/aky.xml&amp;id=/2016/aky/YksityiskohtaisetPerustelut/29/80/52/52.html" xr:uid="{00000000-0004-0000-0600-00008C010000}"/>
    <hyperlink ref="C481" r:id="rId398" display="http://budjetti.vm.fi/indox/sisalto.jsp?year=2016&amp;lang=fi&amp;maindoc=/2016/aky/aky.xml&amp;id=/2016/aky/YksityiskohtaisetPerustelut/29/80/53/53.html" xr:uid="{00000000-0004-0000-0600-00008D010000}"/>
    <hyperlink ref="C482" r:id="rId399" display="http://budjetti.vm.fi/indox/sisalto.jsp?year=2016&amp;lang=fi&amp;maindoc=/2016/aky/aky.xml&amp;id=/2016/aky/YksityiskohtaisetPerustelut/29/80/54/54.html" xr:uid="{00000000-0004-0000-0600-00008E010000}"/>
    <hyperlink ref="C483" r:id="rId400" display="http://budjetti.vm.fi/indox/sisalto.jsp?year=2016&amp;lang=fi&amp;maindoc=/2016/aky/aky.xml&amp;id=/2016/aky/YksityiskohtaisetPerustelut/29/80/55/55.html" xr:uid="{00000000-0004-0000-0600-00008F010000}"/>
    <hyperlink ref="C484" r:id="rId401" display="http://budjetti.vm.fi/indox/sisalto.jsp?year=2016&amp;lang=fi&amp;maindoc=/2016/aky/aky.xml&amp;id=/2016/aky/YksityiskohtaisetPerustelut/29/80/56/56.html" xr:uid="{00000000-0004-0000-0600-000090010000}"/>
    <hyperlink ref="C485" r:id="rId402" display="http://budjetti.vm.fi/indox/sisalto.jsp?year=2016&amp;lang=fi&amp;maindoc=/2016/aky/aky.xml&amp;id=/2016/aky/YksityiskohtaisetPerustelut/29/80/59/59.html" xr:uid="{00000000-0004-0000-0600-000091010000}"/>
    <hyperlink ref="C486" r:id="rId403" display="http://budjetti.vm.fi/indox/sisalto.jsp?year=2016&amp;lang=fi&amp;maindoc=/2016/aky/aky.xml&amp;id=/2016/aky/YksityiskohtaisetPerustelut/29/80/72/72.html" xr:uid="{00000000-0004-0000-0600-000092010000}"/>
    <hyperlink ref="C487" r:id="rId404" display="http://budjetti.vm.fi/indox/sisalto.jsp?year=2016&amp;lang=fi&amp;maindoc=/2016/aky/aky.xml&amp;id=/2016/aky/YksityiskohtaisetPerustelut/29/80/75/75.html" xr:uid="{00000000-0004-0000-0600-000093010000}"/>
    <hyperlink ref="C488" r:id="rId405" display="http://budjetti.vm.fi/indox/sisalto.jsp?year=2016&amp;lang=fi&amp;maindoc=/2016/aky/aky.xml&amp;id=/2016/aky/YksityiskohtaisetPerustelut/29/80/95/95.html" xr:uid="{00000000-0004-0000-0600-000094010000}"/>
    <hyperlink ref="B490" r:id="rId406" display="http://budjetti.vm.fi/indox/sisalto.jsp?year=2016&amp;lang=fi&amp;maindoc=/2016/aky/aky.xml&amp;id=/2016/aky/YksityiskohtaisetPerustelut/29/90/90.html" xr:uid="{00000000-0004-0000-0600-000095010000}"/>
    <hyperlink ref="C491" r:id="rId407" display="http://budjetti.vm.fi/indox/sisalto.jsp?year=2016&amp;lang=fi&amp;maindoc=/2016/aky/aky.xml&amp;id=/2016/aky/YksityiskohtaisetPerustelut/29/90/30/30.html" xr:uid="{00000000-0004-0000-0600-000096010000}"/>
    <hyperlink ref="C492" r:id="rId408" display="http://budjetti.vm.fi/indox/sisalto.jsp?year=2016&amp;lang=fi&amp;maindoc=/2016/aky/aky.xml&amp;id=/2016/aky/YksityiskohtaisetPerustelut/29/90/50/50.html" xr:uid="{00000000-0004-0000-0600-000097010000}"/>
    <hyperlink ref="C493" r:id="rId409" display="http://budjetti.vm.fi/indox/sisalto.jsp?year=2016&amp;lang=fi&amp;maindoc=/2016/aky/aky.xml&amp;id=/2016/aky/YksityiskohtaisetPerustelut/29/90/52/52.html" xr:uid="{00000000-0004-0000-0600-000098010000}"/>
    <hyperlink ref="B495" r:id="rId410" display="http://budjetti.vm.fi/indox/sisalto.jsp?year=2016&amp;lang=fi&amp;maindoc=/2016/aky/aky.xml&amp;id=/2016/aky/YksityiskohtaisetPerustelut/29/91/91.html" xr:uid="{00000000-0004-0000-0600-000099010000}"/>
    <hyperlink ref="C496" r:id="rId411" display="http://budjetti.vm.fi/indox/sisalto.jsp?year=2016&amp;lang=fi&amp;maindoc=/2016/aky/aky.xml&amp;id=/2016/aky/YksityiskohtaisetPerustelut/29/91/50/50.html" xr:uid="{00000000-0004-0000-0600-00009A010000}"/>
    <hyperlink ref="C497" r:id="rId412" display="http://budjetti.vm.fi/indox/sisalto.jsp?year=2016&amp;lang=fi&amp;maindoc=/2016/aky/aky.xml&amp;id=/2016/aky/YksityiskohtaisetPerustelut/29/91/51/51.html" xr:uid="{00000000-0004-0000-0600-00009B010000}"/>
    <hyperlink ref="C498" r:id="rId413" display="http://budjetti.vm.fi/indox/sisalto.jsp?year=2016&amp;lang=fi&amp;maindoc=/2016/aky/aky.xml&amp;id=/2016/aky/YksityiskohtaisetPerustelut/29/91/52/52.html" xr:uid="{00000000-0004-0000-0600-00009C010000}"/>
    <hyperlink ref="B500" r:id="rId414" display="http://budjetti.vm.fi/indox/sisalto.jsp?year=2016&amp;lang=fi&amp;maindoc=/2016/aky/aky.xml&amp;id=/2016/aky/YksityiskohtaisetPerustelut/30/30.html" xr:uid="{00000000-0004-0000-0600-00009D010000}"/>
    <hyperlink ref="B502" r:id="rId415" display="http://budjetti.vm.fi/indox/sisalto.jsp?year=2016&amp;lang=fi&amp;maindoc=/2016/aky/aky.xml&amp;id=/2016/aky/YksityiskohtaisetPerustelut/30/01/01.html" xr:uid="{00000000-0004-0000-0600-00009E010000}"/>
    <hyperlink ref="C503" r:id="rId416" display="http://budjetti.vm.fi/indox/sisalto.jsp?year=2016&amp;lang=fi&amp;maindoc=/2016/aky/aky.xml&amp;id=/2016/aky/YksityiskohtaisetPerustelut/30/01/01/01.html" xr:uid="{00000000-0004-0000-0600-00009F010000}"/>
    <hyperlink ref="C504" r:id="rId417" display="http://budjetti.vm.fi/indox/sisalto.jsp?year=2016&amp;lang=fi&amp;maindoc=/2016/aky/aky.xml&amp;id=/2016/aky/YksityiskohtaisetPerustelut/30/01/05/05.html" xr:uid="{00000000-0004-0000-0600-0000A0010000}"/>
    <hyperlink ref="C505" r:id="rId418" display="http://budjetti.vm.fi/indox/sisalto.jsp?year=2016&amp;lang=fi&amp;maindoc=/2016/aky/aky.xml&amp;id=/2016/aky/YksityiskohtaisetPerustelut/30/01/21poistettava/21poistettava.html" xr:uid="{00000000-0004-0000-0600-0000A1010000}"/>
    <hyperlink ref="C506" r:id="rId419" display="http://budjetti.vm.fi/indox/sisalto.jsp?year=2016&amp;lang=fi&amp;maindoc=/2016/aky/aky.xml&amp;id=/2016/aky/YksityiskohtaisetPerustelut/30/01/22/22.html" xr:uid="{00000000-0004-0000-0600-0000A2010000}"/>
    <hyperlink ref="C507" r:id="rId420" display="http://budjetti.vm.fi/indox/sisalto.jsp?year=2016&amp;lang=fi&amp;maindoc=/2016/aky/aky.xml&amp;id=/2016/aky/YksityiskohtaisetPerustelut/30/01/29/29.html" xr:uid="{00000000-0004-0000-0600-0000A3010000}"/>
    <hyperlink ref="C508" r:id="rId421" display="http://budjetti.vm.fi/indox/sisalto.jsp?year=2016&amp;lang=fi&amp;maindoc=/2016/aky/aky.xml&amp;id=/2016/aky/YksityiskohtaisetPerustelut/30/01/66/66.html" xr:uid="{00000000-0004-0000-0600-0000A4010000}"/>
    <hyperlink ref="B510" r:id="rId422" display="http://budjetti.vm.fi/indox/sisalto.jsp?year=2016&amp;lang=fi&amp;maindoc=/2016/aky/aky.xml&amp;id=/2016/aky/YksityiskohtaisetPerustelut/30/10/10.html" xr:uid="{00000000-0004-0000-0600-0000A5010000}"/>
    <hyperlink ref="C511" r:id="rId423" display="http://budjetti.vm.fi/indox/sisalto.jsp?year=2016&amp;lang=fi&amp;maindoc=/2016/aky/aky.xml&amp;id=/2016/aky/YksityiskohtaisetPerustelut/30/10/40/40.html" xr:uid="{00000000-0004-0000-0600-0000A6010000}"/>
    <hyperlink ref="C512" r:id="rId424" display="http://budjetti.vm.fi/indox/sisalto.jsp?year=2016&amp;lang=fi&amp;maindoc=/2016/aky/aky.xml&amp;id=/2016/aky/YksityiskohtaisetPerustelut/30/10/41/41.html" xr:uid="{00000000-0004-0000-0600-0000A7010000}"/>
    <hyperlink ref="C513" r:id="rId425" display="http://budjetti.vm.fi/indox/sisalto.jsp?year=2016&amp;lang=fi&amp;maindoc=/2016/aky/aky.xml&amp;id=/2016/aky/YksityiskohtaisetPerustelut/30/10/42/42.html" xr:uid="{00000000-0004-0000-0600-0000A8010000}"/>
    <hyperlink ref="C514" r:id="rId426" display="http://budjetti.vm.fi/indox/sisalto.jsp?year=2016&amp;lang=fi&amp;maindoc=/2016/aky/aky.xml&amp;id=/2016/aky/YksityiskohtaisetPerustelut/30/10/43/43.html" xr:uid="{00000000-0004-0000-0600-0000A9010000}"/>
    <hyperlink ref="C515" r:id="rId427" display="http://budjetti.vm.fi/indox/sisalto.jsp?year=2016&amp;lang=fi&amp;maindoc=/2016/aky/aky.xml&amp;id=/2016/aky/YksityiskohtaisetPerustelut/30/10/44/44.html" xr:uid="{00000000-0004-0000-0600-0000AA010000}"/>
    <hyperlink ref="C516" r:id="rId428" display="http://budjetti.vm.fi/indox/sisalto.jsp?year=2016&amp;lang=fi&amp;maindoc=/2016/aky/aky.xml&amp;id=/2016/aky/YksityiskohtaisetPerustelut/30/10/50/50.html" xr:uid="{00000000-0004-0000-0600-0000AB010000}"/>
    <hyperlink ref="C517" r:id="rId429" display="http://budjetti.vm.fi/indox/sisalto.jsp?year=2016&amp;lang=fi&amp;maindoc=/2016/aky/aky.xml&amp;id=/2016/aky/YksityiskohtaisetPerustelut/30/10/51/51.html" xr:uid="{00000000-0004-0000-0600-0000AC010000}"/>
    <hyperlink ref="C518" r:id="rId430" display="http://budjetti.vm.fi/indox/sisalto.jsp?year=2016&amp;lang=fi&amp;maindoc=/2016/aky/aky.xml&amp;id=/2016/aky/YksityiskohtaisetPerustelut/30/10/54/54.html" xr:uid="{00000000-0004-0000-0600-0000AD010000}"/>
    <hyperlink ref="C519" r:id="rId431" display="http://budjetti.vm.fi/indox/sisalto.jsp?year=2016&amp;lang=fi&amp;maindoc=/2016/aky/aky.xml&amp;id=/2016/aky/YksityiskohtaisetPerustelut/30/10/55/55.html" xr:uid="{00000000-0004-0000-0600-0000AE010000}"/>
    <hyperlink ref="C520" r:id="rId432" display="http://budjetti.vm.fi/indox/sisalto.jsp?year=2016&amp;lang=fi&amp;maindoc=/2016/aky/aky.xml&amp;id=/2016/aky/YksityiskohtaisetPerustelut/30/10/63/63.html" xr:uid="{00000000-0004-0000-0600-0000AF010000}"/>
    <hyperlink ref="C521" r:id="rId433" display="http://budjetti.vm.fi/indox/sisalto.jsp?year=2016&amp;lang=fi&amp;maindoc=/2016/aky/aky.xml&amp;id=/2016/aky/YksityiskohtaisetPerustelut/30/10/64/64.html" xr:uid="{00000000-0004-0000-0600-0000B0010000}"/>
    <hyperlink ref="B523" r:id="rId434" display="http://budjetti.vm.fi/indox/sisalto.jsp?year=2016&amp;lang=fi&amp;maindoc=/2016/aky/aky.xml&amp;id=/2016/aky/YksityiskohtaisetPerustelut/30/20/20.html" xr:uid="{00000000-0004-0000-0600-0000B1010000}"/>
    <hyperlink ref="C524" r:id="rId435" display="http://budjetti.vm.fi/indox/sisalto.jsp?year=2016&amp;lang=fi&amp;maindoc=/2016/aky/aky.xml&amp;id=/2016/aky/YksityiskohtaisetPerustelut/30/20/02/02.html" xr:uid="{00000000-0004-0000-0600-0000B2010000}"/>
    <hyperlink ref="C525" r:id="rId436" display="http://budjetti.vm.fi/indox/sisalto.jsp?year=2016&amp;lang=fi&amp;maindoc=/2016/aky/aky.xml&amp;id=/2016/aky/YksityiskohtaisetPerustelut/30/20/03/03.html" xr:uid="{00000000-0004-0000-0600-0000B3010000}"/>
    <hyperlink ref="C526" r:id="rId437" display="http://budjetti.vm.fi/indox/sisalto.jsp?year=2016&amp;lang=fi&amp;maindoc=/2016/aky/aky.xml&amp;id=/2016/aky/YksityiskohtaisetPerustelut/30/20/20/20.html" xr:uid="{00000000-0004-0000-0600-0000B4010000}"/>
    <hyperlink ref="C527" r:id="rId438" display="http://budjetti.vm.fi/indox/sisalto.jsp?year=2016&amp;lang=fi&amp;maindoc=/2016/aky/aky.xml&amp;id=/2016/aky/YksityiskohtaisetPerustelut/30/20/40/40.html" xr:uid="{00000000-0004-0000-0600-0000B5010000}"/>
    <hyperlink ref="C528" r:id="rId439" display="http://budjetti.vm.fi/indox/sisalto.jsp?year=2016&amp;lang=fi&amp;maindoc=/2016/aky/aky.xml&amp;id=/2016/aky/YksityiskohtaisetPerustelut/30/20/41/41.html" xr:uid="{00000000-0004-0000-0600-0000B6010000}"/>
    <hyperlink ref="C529" r:id="rId440" display="http://budjetti.vm.fi/indox/sisalto.jsp?year=2016&amp;lang=fi&amp;maindoc=/2016/aky/aky.xml&amp;id=/2016/aky/YksityiskohtaisetPerustelut/30/20/42/42.html" xr:uid="{00000000-0004-0000-0600-0000B7010000}"/>
    <hyperlink ref="C530" r:id="rId441" display="http://budjetti.vm.fi/indox/sisalto.jsp?year=2016&amp;lang=fi&amp;maindoc=/2016/aky/aky.xml&amp;id=/2016/aky/YksityiskohtaisetPerustelut/30/20/43/43.html" xr:uid="{00000000-0004-0000-0600-0000B8010000}"/>
    <hyperlink ref="C531" r:id="rId442" display="http://budjetti.vm.fi/indox/sisalto.jsp?year=2016&amp;lang=fi&amp;maindoc=/2016/aky/aky.xml&amp;id=/2016/aky/YksityiskohtaisetPerustelut/30/20/44/44.html" xr:uid="{00000000-0004-0000-0600-0000B9010000}"/>
    <hyperlink ref="C532" r:id="rId443" display="http://budjetti.vm.fi/indox/sisalto.jsp?year=2016&amp;lang=fi&amp;maindoc=/2016/aky/aky.xml&amp;id=/2016/aky/YksityiskohtaisetPerustelut/30/20/46/46.html" xr:uid="{00000000-0004-0000-0600-0000BA010000}"/>
    <hyperlink ref="C533" r:id="rId444" display="http://budjetti.vm.fi/indox/sisalto.jsp?year=2016&amp;lang=fi&amp;maindoc=/2016/aky/aky.xml&amp;id=/2016/aky/YksityiskohtaisetPerustelut/30/20/47/47.html" xr:uid="{00000000-0004-0000-0600-0000BB010000}"/>
    <hyperlink ref="C534" r:id="rId445" display="http://budjetti.vm.fi/indox/sisalto.jsp?year=2016&amp;lang=fi&amp;maindoc=/2016/aky/aky.xml&amp;id=/2016/aky/YksityiskohtaisetPerustelut/30/20/60/60.html" xr:uid="{00000000-0004-0000-0600-0000BC010000}"/>
    <hyperlink ref="C535" r:id="rId446" display="http://budjetti.vm.fi/indox/sisalto.jsp?year=2016&amp;lang=fi&amp;maindoc=/2016/aky/aky.xml&amp;id=/2016/aky/YksityiskohtaisetPerustelut/30/20/61/61.html" xr:uid="{00000000-0004-0000-0600-0000BD010000}"/>
    <hyperlink ref="C536" r:id="rId447" display="http://budjetti.vm.fi/indox/sisalto.jsp?year=2016&amp;lang=fi&amp;maindoc=/2016/aky/aky.xml&amp;id=/2016/aky/YksityiskohtaisetPerustelut/30/20/62/62.html" xr:uid="{00000000-0004-0000-0600-0000BE010000}"/>
    <hyperlink ref="B538" r:id="rId448" display="http://budjetti.vm.fi/indox/sisalto.jsp?year=2016&amp;lang=fi&amp;maindoc=/2016/aky/aky.xml&amp;id=/2016/aky/YksityiskohtaisetPerustelut/30/40/40.html" xr:uid="{00000000-0004-0000-0600-0000BF010000}"/>
    <hyperlink ref="C539" r:id="rId449" display="http://budjetti.vm.fi/indox/sisalto.jsp?year=2016&amp;lang=fi&amp;maindoc=/2016/aky/aky.xml&amp;id=/2016/aky/YksityiskohtaisetPerustelut/30/40/20/20.html" xr:uid="{00000000-0004-0000-0600-0000C0010000}"/>
    <hyperlink ref="C540" r:id="rId450" display="http://budjetti.vm.fi/indox/sisalto.jsp?year=2016&amp;lang=fi&amp;maindoc=/2016/aky/aky.xml&amp;id=/2016/aky/YksityiskohtaisetPerustelut/30/40/21/21.html" xr:uid="{00000000-0004-0000-0600-0000C1010000}"/>
    <hyperlink ref="C541" r:id="rId451" display="http://budjetti.vm.fi/indox/sisalto.jsp?year=2016&amp;lang=fi&amp;maindoc=/2016/aky/aky.xml&amp;id=/2016/aky/YksityiskohtaisetPerustelut/30/40/22/22.html" xr:uid="{00000000-0004-0000-0600-0000C2010000}"/>
    <hyperlink ref="C542" r:id="rId452" display="http://budjetti.vm.fi/indox/sisalto.jsp?year=2016&amp;lang=fi&amp;maindoc=/2016/aky/aky.xml&amp;id=/2016/aky/YksityiskohtaisetPerustelut/30/40/31/31.html" xr:uid="{00000000-0004-0000-0600-0000C3010000}"/>
    <hyperlink ref="C543" r:id="rId453" display="http://budjetti.vm.fi/indox/sisalto.jsp?year=2016&amp;lang=fi&amp;maindoc=/2016/aky/aky.xml&amp;id=/2016/aky/YksityiskohtaisetPerustelut/30/40/40/40.html" xr:uid="{00000000-0004-0000-0600-0000C4010000}"/>
    <hyperlink ref="C544" r:id="rId454" display="http://budjetti.vm.fi/indox/sisalto.jsp?year=2016&amp;lang=fi&amp;maindoc=/2016/aky/aky.xml&amp;id=/2016/aky/YksityiskohtaisetPerustelut/30/40/41/41.html" xr:uid="{00000000-0004-0000-0600-0000C5010000}"/>
    <hyperlink ref="C545" r:id="rId455" display="http://budjetti.vm.fi/indox/sisalto.jsp?year=2016&amp;lang=fi&amp;maindoc=/2016/aky/aky.xml&amp;id=/2016/aky/YksityiskohtaisetPerustelut/30/40/42/42.html" xr:uid="{00000000-0004-0000-0600-0000C6010000}"/>
    <hyperlink ref="C546" r:id="rId456" display="http://budjetti.vm.fi/indox/sisalto.jsp?year=2016&amp;lang=fi&amp;maindoc=/2016/aky/aky.xml&amp;id=/2016/aky/YksityiskohtaisetPerustelut/30/40/44/44.html" xr:uid="{00000000-0004-0000-0600-0000C7010000}"/>
    <hyperlink ref="C547" r:id="rId457" display="http://budjetti.vm.fi/indox/sisalto.jsp?year=2016&amp;lang=fi&amp;maindoc=/2016/aky/aky.xml&amp;id=/2016/aky/YksityiskohtaisetPerustelut/30/40/45/45.html" xr:uid="{00000000-0004-0000-0600-0000C8010000}"/>
    <hyperlink ref="C548" r:id="rId458" display="http://budjetti.vm.fi/indox/sisalto.jsp?year=2016&amp;lang=fi&amp;maindoc=/2016/aky/aky.xml&amp;id=/2016/aky/YksityiskohtaisetPerustelut/30/40/46/46.html" xr:uid="{00000000-0004-0000-0600-0000C9010000}"/>
    <hyperlink ref="C549" r:id="rId459" display="http://budjetti.vm.fi/indox/sisalto.jsp?year=2016&amp;lang=fi&amp;maindoc=/2016/aky/aky.xml&amp;id=/2016/aky/YksityiskohtaisetPerustelut/30/40/50/50.html" xr:uid="{00000000-0004-0000-0600-0000CA010000}"/>
    <hyperlink ref="C550" r:id="rId460" display="http://budjetti.vm.fi/indox/sisalto.jsp?year=2016&amp;lang=fi&amp;maindoc=/2016/aky/aky.xml&amp;id=/2016/aky/YksityiskohtaisetPerustelut/30/40/51/51.html" xr:uid="{00000000-0004-0000-0600-0000CB010000}"/>
    <hyperlink ref="C551" r:id="rId461" display="http://budjetti.vm.fi/indox/sisalto.jsp?year=2016&amp;lang=fi&amp;maindoc=/2016/aky/aky.xml&amp;id=/2016/aky/YksityiskohtaisetPerustelut/30/40/53/53.html" xr:uid="{00000000-0004-0000-0600-0000CC010000}"/>
    <hyperlink ref="C552" r:id="rId462" display="http://budjetti.vm.fi/indox/sisalto.jsp?year=2016&amp;lang=fi&amp;maindoc=/2016/aky/aky.xml&amp;id=/2016/aky/YksityiskohtaisetPerustelut/30/40/62/62.html" xr:uid="{00000000-0004-0000-0600-0000CD010000}"/>
    <hyperlink ref="C553" r:id="rId463" display="http://budjetti.vm.fi/indox/sisalto.jsp?year=2016&amp;lang=fi&amp;maindoc=/2016/aky/aky.xml&amp;id=/2016/aky/YksityiskohtaisetPerustelut/30/40/83/83.html" xr:uid="{00000000-0004-0000-0600-0000CE010000}"/>
    <hyperlink ref="B555" r:id="rId464" display="http://budjetti.vm.fi/indox/sisalto.jsp?year=2016&amp;lang=fi&amp;maindoc=/2016/aky/aky.xml&amp;id=/2016/aky/YksityiskohtaisetPerustelut/30/63/63.html" xr:uid="{00000000-0004-0000-0600-0000CF010000}"/>
    <hyperlink ref="C556" r:id="rId465" display="http://budjetti.vm.fi/indox/sisalto.jsp?year=2016&amp;lang=fi&amp;maindoc=/2016/aky/aky.xml&amp;id=/2016/aky/YksityiskohtaisetPerustelut/30/63/50/50.html" xr:uid="{00000000-0004-0000-0600-0000D0010000}"/>
    <hyperlink ref="C557" r:id="rId466" display="http://budjetti.vm.fi/indox/sisalto.jsp?year=2016&amp;lang=fi&amp;maindoc=/2016/aky/aky.xml&amp;id=/2016/aky/YksityiskohtaisetPerustelut/30/64/64.html" xr:uid="{00000000-0004-0000-0600-0000D1010000}"/>
    <hyperlink ref="C558" r:id="rId467" display="http://budjetti.vm.fi/indox/sisalto.jsp?year=2016&amp;lang=fi&amp;maindoc=/2016/aky/aky.xml&amp;id=/2016/aky/YksityiskohtaisetPerustelut/30/64/50/50.html" xr:uid="{00000000-0004-0000-0600-0000D2010000}"/>
    <hyperlink ref="B560" r:id="rId468" display="http://budjetti.vm.fi/indox/sisalto.jsp?year=2016&amp;lang=fi&amp;maindoc=/2016/aky/aky.xml&amp;id=/2016/aky/YksityiskohtaisetPerustelut/30/70/70.html" xr:uid="{00000000-0004-0000-0600-0000D3010000}"/>
    <hyperlink ref="C561" r:id="rId469" display="http://budjetti.vm.fi/indox/sisalto.jsp?year=2016&amp;lang=fi&amp;maindoc=/2016/aky/aky.xml&amp;id=/2016/aky/YksityiskohtaisetPerustelut/30/70/01/01.html" xr:uid="{00000000-0004-0000-0600-0000D4010000}"/>
    <hyperlink ref="C562" r:id="rId470" display="http://budjetti.vm.fi/indox/sisalto.jsp?year=2016&amp;lang=fi&amp;maindoc=/2016/aky/aky.xml&amp;id=/2016/aky/YksityiskohtaisetPerustelut/30/70/40/40.html" xr:uid="{00000000-0004-0000-0600-0000D5010000}"/>
    <hyperlink ref="B564" r:id="rId471" display="http://budjetti.vm.fi/indox/sisalto.jsp?year=2016&amp;lang=fi&amp;maindoc=/2016/aky/aky.xml&amp;id=/2016/aky/YksityiskohtaisetPerustelut/31/31.html" xr:uid="{00000000-0004-0000-0600-0000D6010000}"/>
    <hyperlink ref="B566" r:id="rId472" display="http://budjetti.vm.fi/indox/sisalto.jsp?year=2016&amp;lang=fi&amp;maindoc=/2016/aky/aky.xml&amp;id=/2016/aky/YksityiskohtaisetPerustelut/31/01/01.html" xr:uid="{00000000-0004-0000-0600-0000D7010000}"/>
    <hyperlink ref="C567" r:id="rId473" display="http://budjetti.vm.fi/indox/sisalto.jsp?year=2016&amp;lang=fi&amp;maindoc=/2016/aky/aky.xml&amp;id=/2016/aky/YksityiskohtaisetPerustelut/31/01/01/01.html" xr:uid="{00000000-0004-0000-0600-0000D8010000}"/>
    <hyperlink ref="C568" r:id="rId474" display="http://budjetti.vm.fi/indox/sisalto.jsp?year=2016&amp;lang=fi&amp;maindoc=/2016/aky/aky.xml&amp;id=/2016/aky/YksityiskohtaisetPerustelut/31/01/21/21.html" xr:uid="{00000000-0004-0000-0600-0000D9010000}"/>
    <hyperlink ref="C569" r:id="rId475" display="http://budjetti.vm.fi/indox/sisalto.jsp?year=2016&amp;lang=fi&amp;maindoc=/2016/aky/aky.xml&amp;id=/2016/aky/YksityiskohtaisetPerustelut/31/01/29/29.html" xr:uid="{00000000-0004-0000-0600-0000DA010000}"/>
    <hyperlink ref="B571" r:id="rId476" display="http://budjetti.vm.fi/indox/sisalto.jsp?year=2016&amp;lang=fi&amp;maindoc=/2016/aky/aky.xml&amp;id=/2016/aky/YksityiskohtaisetPerustelut/31/10/10.html" xr:uid="{00000000-0004-0000-0600-0000DB010000}"/>
    <hyperlink ref="C572" r:id="rId477" display="http://budjetti.vm.fi/indox/sisalto.jsp?year=2016&amp;lang=fi&amp;maindoc=/2016/aky/aky.xml&amp;id=/2016/aky/YksityiskohtaisetPerustelut/31/10/01/01.html" xr:uid="{00000000-0004-0000-0600-0000DC010000}"/>
    <hyperlink ref="C573" r:id="rId478" display="http://budjetti.vm.fi/indox/sisalto.jsp?year=2016&amp;lang=fi&amp;maindoc=/2016/aky/aky.xml&amp;id=/2016/aky/YksityiskohtaisetPerustelut/31/10/20/20.html" xr:uid="{00000000-0004-0000-0600-0000DD010000}"/>
    <hyperlink ref="C574" r:id="rId479" display="http://budjetti.vm.fi/indox/sisalto.jsp?year=2016&amp;lang=fi&amp;maindoc=/2016/aky/aky.xml&amp;id=/2016/aky/YksityiskohtaisetPerustelut/31/10/35/35.html" xr:uid="{00000000-0004-0000-0600-0000DE010000}"/>
    <hyperlink ref="C575" r:id="rId480" display="http://budjetti.vm.fi/indox/sisalto.jsp?year=2016&amp;lang=fi&amp;maindoc=/2016/aky/aky.xml&amp;id=/2016/aky/YksityiskohtaisetPerustelut/31/10/41/41.html" xr:uid="{00000000-0004-0000-0600-0000DF010000}"/>
    <hyperlink ref="C576" r:id="rId481" display="http://budjetti.vm.fi/indox/sisalto.jsp?year=2016&amp;lang=fi&amp;maindoc=/2016/aky/aky.xml&amp;id=/2016/aky/YksityiskohtaisetPerustelut/31/10/50/50.html" xr:uid="{00000000-0004-0000-0600-0000E0010000}"/>
    <hyperlink ref="C577" r:id="rId482" display="http://budjetti.vm.fi/indox/sisalto.jsp?year=2016&amp;lang=fi&amp;maindoc=/2016/aky/aky.xml&amp;id=/2016/aky/YksityiskohtaisetPerustelut/31/10/76/76.html" xr:uid="{00000000-0004-0000-0600-0000E1010000}"/>
    <hyperlink ref="C578" r:id="rId483" display="http://budjetti.vm.fi/indox/sisalto.jsp?year=2016&amp;lang=fi&amp;maindoc=/2016/aky/aky.xml&amp;id=/2016/aky/YksityiskohtaisetPerustelut/31/10/77/77.html" xr:uid="{00000000-0004-0000-0600-0000E2010000}"/>
    <hyperlink ref="C579" r:id="rId484" display="http://budjetti.vm.fi/indox/sisalto.jsp?year=2016&amp;lang=fi&amp;maindoc=/2016/aky/aky.xml&amp;id=/2016/aky/YksityiskohtaisetPerustelut/31/10/78/78.html" xr:uid="{00000000-0004-0000-0600-0000E3010000}"/>
    <hyperlink ref="C580" r:id="rId485" display="http://budjetti.vm.fi/indox/sisalto.jsp?year=2016&amp;lang=fi&amp;maindoc=/2016/aky/aky.xml&amp;id=/2016/aky/YksityiskohtaisetPerustelut/31/10/79/79.html" xr:uid="{00000000-0004-0000-0600-0000E4010000}"/>
    <hyperlink ref="B582" r:id="rId486" display="http://budjetti.vm.fi/indox/sisalto.jsp?year=2016&amp;lang=fi&amp;maindoc=/2016/aky/aky.xml&amp;id=/2016/aky/YksityiskohtaisetPerustelut/31/20/20.html" xr:uid="{00000000-0004-0000-0600-0000E5010000}"/>
    <hyperlink ref="C583" r:id="rId487" display="http://budjetti.vm.fi/indox/sisalto.jsp?year=2016&amp;lang=fi&amp;maindoc=/2016/aky/aky.xml&amp;id=/2016/aky/YksityiskohtaisetPerustelut/31/20/01/01.html" xr:uid="{00000000-0004-0000-0600-0000E6010000}"/>
    <hyperlink ref="B585" r:id="rId488" display="http://budjetti.vm.fi/indox/sisalto.jsp?year=2016&amp;lang=fi&amp;maindoc=/2016/aky/aky.xml&amp;id=/2016/aky/YksityiskohtaisetPerustelut/31/30/30.html" xr:uid="{00000000-0004-0000-0600-0000E7010000}"/>
    <hyperlink ref="C586" r:id="rId489" display="http://budjetti.vm.fi/indox/sisalto.jsp?year=2016&amp;lang=fi&amp;maindoc=/2016/aky/aky.xml&amp;id=/2016/aky/YksityiskohtaisetPerustelut/31/30/42/42.html" xr:uid="{00000000-0004-0000-0600-0000E8010000}"/>
    <hyperlink ref="C587" r:id="rId490" display="http://budjetti.vm.fi/indox/sisalto.jsp?year=2016&amp;lang=fi&amp;maindoc=/2016/aky/aky.xml&amp;id=/2016/aky/YksityiskohtaisetPerustelut/31/30/43/43.html" xr:uid="{00000000-0004-0000-0600-0000E9010000}"/>
    <hyperlink ref="C588" r:id="rId491" display="http://budjetti.vm.fi/indox/sisalto.jsp?year=2016&amp;lang=fi&amp;maindoc=/2016/aky/aky.xml&amp;id=/2016/aky/YksityiskohtaisetPerustelut/31/30/51/51.html" xr:uid="{00000000-0004-0000-0600-0000EA010000}"/>
    <hyperlink ref="C589" r:id="rId492" display="http://budjetti.vm.fi/indox/sisalto.jsp?year=2016&amp;lang=fi&amp;maindoc=/2016/aky/aky.xml&amp;id=/2016/aky/YksityiskohtaisetPerustelut/31/30/63/63.html" xr:uid="{00000000-0004-0000-0600-0000EB010000}"/>
    <hyperlink ref="C590" r:id="rId493" display="http://budjetti.vm.fi/indox/sisalto.jsp?year=2016&amp;lang=fi&amp;maindoc=/2016/aky/aky.xml&amp;id=/2016/aky/YksityiskohtaisetPerustelut/31/30/64/64.html" xr:uid="{00000000-0004-0000-0600-0000EC010000}"/>
    <hyperlink ref="C591" r:id="rId494" display="http://budjetti.vm.fi/indox/sisalto.jsp?year=2016&amp;lang=fi&amp;maindoc=/2016/aky/aky.xml&amp;id=/2016/aky/YksityiskohtaisetPerustelut/31/30/66/66.html" xr:uid="{00000000-0004-0000-0600-0000ED010000}"/>
    <hyperlink ref="B593" r:id="rId495" display="http://budjetti.vm.fi/indox/sisalto.jsp?year=2016&amp;lang=fi&amp;maindoc=/2016/aky/aky.xml&amp;id=/2016/aky/YksityiskohtaisetPerustelut/31/40/40.html" xr:uid="{00000000-0004-0000-0600-0000EE010000}"/>
    <hyperlink ref="C594" r:id="rId496" display="http://budjetti.vm.fi/indox/sisalto.jsp?year=2016&amp;lang=fi&amp;maindoc=/2016/aky/aky.xml&amp;id=/2016/aky/YksityiskohtaisetPerustelut/31/40/01/01.html" xr:uid="{00000000-0004-0000-0600-0000EF010000}"/>
    <hyperlink ref="C595" r:id="rId497" display="http://budjetti.vm.fi/indox/sisalto.jsp?year=2016&amp;lang=fi&amp;maindoc=/2016/aky/aky.xml&amp;id=/2016/aky/YksityiskohtaisetPerustelut/31/40/43/43.html" xr:uid="{00000000-0004-0000-0600-0000F0010000}"/>
    <hyperlink ref="C596" r:id="rId498" display="http://budjetti.vm.fi/indox/sisalto.jsp?year=2016&amp;lang=fi&amp;maindoc=/2016/aky/aky.xml&amp;id=/2016/aky/YksityiskohtaisetPerustelut/31/40/44/44.html" xr:uid="{00000000-0004-0000-0600-0000F1010000}"/>
    <hyperlink ref="C597" r:id="rId499" display="http://budjetti.vm.fi/indox/sisalto.jsp?year=2016&amp;lang=fi&amp;maindoc=/2016/aky/aky.xml&amp;id=/2016/aky/YksityiskohtaisetPerustelut/31/40/50/50.html" xr:uid="{00000000-0004-0000-0600-0000F2010000}"/>
    <hyperlink ref="C598" r:id="rId500" display="http://budjetti.vm.fi/indox/sisalto.jsp?year=2016&amp;lang=fi&amp;maindoc=/2016/aky/aky.xml&amp;id=/2016/aky/YksityiskohtaisetPerustelut/31/40/60/60.html" xr:uid="{00000000-0004-0000-0600-0000F3010000}"/>
    <hyperlink ref="B600" r:id="rId501" display="http://budjetti.vm.fi/indox/sisalto.jsp?year=2016&amp;lang=fi&amp;maindoc=/2016/aky/aky.xml&amp;id=/2016/aky/YksityiskohtaisetPerustelut/31/50/50.html" xr:uid="{00000000-0004-0000-0600-0000F4010000}"/>
    <hyperlink ref="C601" r:id="rId502" display="http://budjetti.vm.fi/indox/sisalto.jsp?year=2016&amp;lang=fi&amp;maindoc=/2016/aky/aky.xml&amp;id=/2016/aky/YksityiskohtaisetPerustelut/31/50/01/01.html" xr:uid="{00000000-0004-0000-0600-0000F5010000}"/>
    <hyperlink ref="B603" r:id="rId503" display="http://budjetti.vm.fi/indox/sisalto.jsp?year=2016&amp;lang=fi&amp;maindoc=/2016/aky/aky.xml&amp;id=/2016/aky/YksityiskohtaisetPerustelut/32/32.html" xr:uid="{00000000-0004-0000-0600-0000F6010000}"/>
    <hyperlink ref="B605" r:id="rId504" display="http://budjetti.vm.fi/indox/sisalto.jsp?year=2016&amp;lang=fi&amp;maindoc=/2016/aky/aky.xml&amp;id=/2016/aky/YksityiskohtaisetPerustelut/32/01/01.html" xr:uid="{00000000-0004-0000-0600-0000F7010000}"/>
    <hyperlink ref="C606" r:id="rId505" display="http://budjetti.vm.fi/indox/sisalto.jsp?year=2016&amp;lang=fi&amp;maindoc=/2016/aky/aky.xml&amp;id=/2016/aky/YksityiskohtaisetPerustelut/32/01/01/01.html" xr:uid="{00000000-0004-0000-0600-0000F8010000}"/>
    <hyperlink ref="C607" r:id="rId506" display="http://budjetti.vm.fi/indox/sisalto.jsp?year=2016&amp;lang=fi&amp;maindoc=/2016/aky/aky.xml&amp;id=/2016/aky/YksityiskohtaisetPerustelut/32/01/02/02.html" xr:uid="{00000000-0004-0000-0600-0000F9010000}"/>
    <hyperlink ref="C608" r:id="rId507" display="http://budjetti.vm.fi/indox/sisalto.jsp?year=2016&amp;lang=fi&amp;maindoc=/2016/aky/aky.xml&amp;id=/2016/aky/YksityiskohtaisetPerustelut/32/01/20/20.html" xr:uid="{00000000-0004-0000-0600-0000FA010000}"/>
    <hyperlink ref="C609" r:id="rId508" display="http://budjetti.vm.fi/indox/sisalto.jsp?year=2016&amp;lang=fi&amp;maindoc=/2016/aky/aky.xml&amp;id=/2016/aky/YksityiskohtaisetPerustelut/32/01/21/21.html" xr:uid="{00000000-0004-0000-0600-0000FB010000}"/>
    <hyperlink ref="C610" r:id="rId509" display="http://budjetti.vm.fi/indox/sisalto.jsp?year=2016&amp;lang=fi&amp;maindoc=/2016/aky/aky.xml&amp;id=/2016/aky/YksityiskohtaisetPerustelut/32/01/22/22.html" xr:uid="{00000000-0004-0000-0600-0000FC010000}"/>
    <hyperlink ref="C611" r:id="rId510" display="http://budjetti.vm.fi/indox/sisalto.jsp?year=2016&amp;lang=fi&amp;maindoc=/2016/aky/aky.xml&amp;id=/2016/aky/YksityiskohtaisetPerustelut/32/01/29/29.html" xr:uid="{00000000-0004-0000-0600-0000FD010000}"/>
    <hyperlink ref="C612" r:id="rId511" display="http://budjetti.vm.fi/indox/sisalto.jsp?year=2016&amp;lang=fi&amp;maindoc=/2016/aky/aky.xml&amp;id=/2016/aky/YksityiskohtaisetPerustelut/32/01/40/40.html" xr:uid="{00000000-0004-0000-0600-0000FE010000}"/>
    <hyperlink ref="C613" r:id="rId512" display="http://budjetti.vm.fi/indox/sisalto.jsp?year=2016&amp;lang=fi&amp;maindoc=/2016/aky/aky.xml&amp;id=/2016/aky/YksityiskohtaisetPerustelut/32/01/41/41.html" xr:uid="{00000000-0004-0000-0600-0000FF010000}"/>
    <hyperlink ref="C614" r:id="rId513" display="http://budjetti.vm.fi/indox/sisalto.jsp?year=2016&amp;lang=fi&amp;maindoc=/2016/aky/aky.xml&amp;id=/2016/aky/YksityiskohtaisetPerustelut/32/01/42/42.html" xr:uid="{00000000-0004-0000-0600-000000020000}"/>
    <hyperlink ref="C615" r:id="rId514" display="http://budjetti.vm.fi/indox/sisalto.jsp?year=2016&amp;lang=fi&amp;maindoc=/2016/aky/aky.xml&amp;id=/2016/aky/YksityiskohtaisetPerustelut/32/01/60/60.html" xr:uid="{00000000-0004-0000-0600-000001020000}"/>
    <hyperlink ref="C616" r:id="rId515" display="http://budjetti.vm.fi/indox/sisalto.jsp?year=2016&amp;lang=fi&amp;maindoc=/2016/aky/aky.xml&amp;id=/2016/aky/YksityiskohtaisetPerustelut/32/01/66/66.html" xr:uid="{00000000-0004-0000-0600-000002020000}"/>
    <hyperlink ref="C617" r:id="rId516" display="http://budjetti.vm.fi/indox/sisalto.jsp?year=2016&amp;lang=fi&amp;maindoc=/2016/aky/aky.xml&amp;id=/2016/aky/YksityiskohtaisetPerustelut/32/01/88poistettava/88poistettava.html" xr:uid="{00000000-0004-0000-0600-000003020000}"/>
    <hyperlink ref="C618" r:id="rId517" display="http://budjetti.vm.fi/indox/sisalto.jsp?year=2016&amp;lang=fi&amp;maindoc=/2016/aky/aky.xml&amp;id=/2016/aky/YksityiskohtaisetPerustelut/32/01/89/89.html" xr:uid="{00000000-0004-0000-0600-000004020000}"/>
    <hyperlink ref="B620" r:id="rId518" display="http://budjetti.vm.fi/indox/sisalto.jsp?year=2016&amp;lang=fi&amp;maindoc=/2016/aky/aky.xml&amp;id=/2016/aky/YksityiskohtaisetPerustelut/32/20/20.html" xr:uid="{00000000-0004-0000-0600-000005020000}"/>
    <hyperlink ref="C621" r:id="rId519" display="http://budjetti.vm.fi/indox/sisalto.jsp?year=2016&amp;lang=fi&amp;maindoc=/2016/aky/aky.xml&amp;id=/2016/aky/YksityiskohtaisetPerustelut/32/20/01/01.html" xr:uid="{00000000-0004-0000-0600-000006020000}"/>
    <hyperlink ref="C622" r:id="rId520" display="http://budjetti.vm.fi/indox/sisalto.jsp?year=2016&amp;lang=fi&amp;maindoc=/2016/aky/aky.xml&amp;id=/2016/aky/YksityiskohtaisetPerustelut/32/20/06/06.html" xr:uid="{00000000-0004-0000-0600-000007020000}"/>
    <hyperlink ref="C623" r:id="rId521" display="http://budjetti.vm.fi/indox/sisalto.jsp?year=2016&amp;lang=fi&amp;maindoc=/2016/aky/aky.xml&amp;id=/2016/aky/YksityiskohtaisetPerustelut/32/20/28/28.html" xr:uid="{00000000-0004-0000-0600-000008020000}"/>
    <hyperlink ref="C624" r:id="rId522" display="http://budjetti.vm.fi/indox/sisalto.jsp?year=2016&amp;lang=fi&amp;maindoc=/2016/aky/aky.xml&amp;id=/2016/aky/YksityiskohtaisetPerustelut/32/20/40/40.html" xr:uid="{00000000-0004-0000-0600-000009020000}"/>
    <hyperlink ref="C625" r:id="rId523" display="http://budjetti.vm.fi/indox/sisalto.jsp?year=2016&amp;lang=fi&amp;maindoc=/2016/aky/aky.xml&amp;id=/2016/aky/YksityiskohtaisetPerustelut/32/20/41/41.html" xr:uid="{00000000-0004-0000-0600-00000A020000}"/>
    <hyperlink ref="C626" r:id="rId524" display="http://budjetti.vm.fi/indox/sisalto.jsp?year=2016&amp;lang=fi&amp;maindoc=/2016/aky/aky.xml&amp;id=/2016/aky/YksityiskohtaisetPerustelut/32/20/42/42.html" xr:uid="{00000000-0004-0000-0600-00000B020000}"/>
    <hyperlink ref="C627" r:id="rId525" display="http://budjetti.vm.fi/indox/sisalto.jsp?year=2016&amp;lang=fi&amp;maindoc=/2016/aky/aky.xml&amp;id=/2016/aky/YksityiskohtaisetPerustelut/32/20/43/43.html" xr:uid="{00000000-0004-0000-0600-00000C020000}"/>
    <hyperlink ref="C628" r:id="rId526" display="http://budjetti.vm.fi/indox/sisalto.jsp?year=2016&amp;lang=fi&amp;maindoc=/2016/aky/aky.xml&amp;id=/2016/aky/YksityiskohtaisetPerustelut/32/20/47/47.html" xr:uid="{00000000-0004-0000-0600-00000D020000}"/>
    <hyperlink ref="C629" r:id="rId527" display="http://budjetti.vm.fi/indox/sisalto.jsp?year=2016&amp;lang=fi&amp;maindoc=/2016/aky/aky.xml&amp;id=/2016/aky/YksityiskohtaisetPerustelut/32/20/48/48.html" xr:uid="{00000000-0004-0000-0600-00000E020000}"/>
    <hyperlink ref="C630" r:id="rId528" display="http://budjetti.vm.fi/indox/sisalto.jsp?year=2016&amp;lang=fi&amp;maindoc=/2016/aky/aky.xml&amp;id=/2016/aky/YksityiskohtaisetPerustelut/32/20/49/49.html" xr:uid="{00000000-0004-0000-0600-00000F020000}"/>
    <hyperlink ref="C631" r:id="rId529" display="http://budjetti.vm.fi/indox/sisalto.jsp?year=2016&amp;lang=fi&amp;maindoc=/2016/aky/aky.xml&amp;id=/2016/aky/YksityiskohtaisetPerustelut/32/20/50/50.html" xr:uid="{00000000-0004-0000-0600-000010020000}"/>
    <hyperlink ref="C632" r:id="rId530" display="http://budjetti.vm.fi/indox/sisalto.jsp?year=2016&amp;lang=fi&amp;maindoc=/2016/aky/aky.xml&amp;id=/2016/aky/YksityiskohtaisetPerustelut/32/20/80/80.html" xr:uid="{00000000-0004-0000-0600-000011020000}"/>
    <hyperlink ref="C633" r:id="rId531" display="http://budjetti.vm.fi/indox/sisalto.jsp?year=2016&amp;lang=fi&amp;maindoc=/2016/aky/aky.xml&amp;id=/2016/aky/YksityiskohtaisetPerustelut/32/20/82/82.html" xr:uid="{00000000-0004-0000-0600-000012020000}"/>
    <hyperlink ref="C634" r:id="rId532" display="http://budjetti.vm.fi/indox/sisalto.jsp?year=2016&amp;lang=fi&amp;maindoc=/2016/aky/aky.xml&amp;id=/2016/aky/YksityiskohtaisetPerustelut/32/20/83/83.html" xr:uid="{00000000-0004-0000-0600-000013020000}"/>
    <hyperlink ref="C635" r:id="rId533" display="http://budjetti.vm.fi/indox/sisalto.jsp?year=2016&amp;lang=fi&amp;maindoc=/2016/aky/aky.xml&amp;id=/2016/aky/YksityiskohtaisetPerustelut/32/20/87/87.html" xr:uid="{00000000-0004-0000-0600-000014020000}"/>
    <hyperlink ref="C636" r:id="rId534" display="http://budjetti.vm.fi/indox/sisalto.jsp?year=2016&amp;lang=fi&amp;maindoc=/2016/aky/aky.xml&amp;id=/2016/aky/YksityiskohtaisetPerustelut/32/20/88/88.html" xr:uid="{00000000-0004-0000-0600-000015020000}"/>
    <hyperlink ref="C637" r:id="rId535" display="http://budjetti.vm.fi/indox/sisalto.jsp?year=2016&amp;lang=fi&amp;maindoc=/2016/aky/aky.xml&amp;id=/2016/aky/YksityiskohtaisetPerustelut/32/20/89/89.html" xr:uid="{00000000-0004-0000-0600-000016020000}"/>
    <hyperlink ref="B639" r:id="rId536" display="http://budjetti.vm.fi/indox/sisalto.jsp?year=2016&amp;lang=fi&amp;maindoc=/2016/aky/aky.xml&amp;id=/2016/aky/YksityiskohtaisetPerustelut/32/30/30.html" xr:uid="{00000000-0004-0000-0600-000017020000}"/>
    <hyperlink ref="C640" r:id="rId537" display="http://budjetti.vm.fi/indox/sisalto.jsp?year=2016&amp;lang=fi&amp;maindoc=/2016/aky/aky.xml&amp;id=/2016/aky/YksityiskohtaisetPerustelut/32/30/01/01.html" xr:uid="{00000000-0004-0000-0600-000018020000}"/>
    <hyperlink ref="C641" r:id="rId538" display="http://budjetti.vm.fi/indox/sisalto.jsp?year=2016&amp;lang=fi&amp;maindoc=/2016/aky/aky.xml&amp;id=/2016/aky/YksityiskohtaisetPerustelut/32/30/44/44.html" xr:uid="{00000000-0004-0000-0600-000019020000}"/>
    <hyperlink ref="C642" r:id="rId539" display="http://budjetti.vm.fi/indox/sisalto.jsp?year=2016&amp;lang=fi&amp;maindoc=/2016/aky/aky.xml&amp;id=/2016/aky/YksityiskohtaisetPerustelut/32/30/45/45.html" xr:uid="{00000000-0004-0000-0600-00001A020000}"/>
    <hyperlink ref="C643" r:id="rId540" display="http://budjetti.vm.fi/indox/sisalto.jsp?year=2016&amp;lang=fi&amp;maindoc=/2016/aky/aky.xml&amp;id=/2016/aky/YksityiskohtaisetPerustelut/32/30/51/51.html" xr:uid="{00000000-0004-0000-0600-00001B020000}"/>
    <hyperlink ref="C644" r:id="rId541" display="http://budjetti.vm.fi/indox/sisalto.jsp?year=2016&amp;lang=fi&amp;maindoc=/2016/aky/aky.xml&amp;id=/2016/aky/YksityiskohtaisetPerustelut/32/30/64/64.html" xr:uid="{00000000-0004-0000-0600-00001C020000}"/>
    <hyperlink ref="B646" r:id="rId542" display="http://budjetti.vm.fi/indox/sisalto.jsp?year=2016&amp;lang=fi&amp;maindoc=/2016/aky/aky.xml&amp;id=/2016/aky/YksityiskohtaisetPerustelut/32/40/40.html" xr:uid="{00000000-0004-0000-0600-00001D020000}"/>
    <hyperlink ref="C647" r:id="rId543" display="http://budjetti.vm.fi/indox/sisalto.jsp?year=2016&amp;lang=fi&amp;maindoc=/2016/aky/aky.xml&amp;id=/2016/aky/YksityiskohtaisetPerustelut/32/40/01/01.html" xr:uid="{00000000-0004-0000-0600-00001E020000}"/>
    <hyperlink ref="C648" r:id="rId544" display="http://budjetti.vm.fi/indox/sisalto.jsp?year=2016&amp;lang=fi&amp;maindoc=/2016/aky/aky.xml&amp;id=/2016/aky/YksityiskohtaisetPerustelut/32/40/03/03.html" xr:uid="{00000000-0004-0000-0600-00001F020000}"/>
    <hyperlink ref="C649" r:id="rId545" display="http://budjetti.vm.fi/indox/sisalto.jsp?year=2016&amp;lang=fi&amp;maindoc=/2016/aky/aky.xml&amp;id=/2016/aky/YksityiskohtaisetPerustelut/32/40/05/05.html" xr:uid="{00000000-0004-0000-0600-000020020000}"/>
    <hyperlink ref="C650" r:id="rId546" display="http://budjetti.vm.fi/indox/sisalto.jsp?year=2016&amp;lang=fi&amp;maindoc=/2016/aky/aky.xml&amp;id=/2016/aky/YksityiskohtaisetPerustelut/32/40/31/31.html" xr:uid="{00000000-0004-0000-0600-000021020000}"/>
    <hyperlink ref="C651" r:id="rId547" display="http://budjetti.vm.fi/indox/sisalto.jsp?year=2016&amp;lang=fi&amp;maindoc=/2016/aky/aky.xml&amp;id=/2016/aky/YksityiskohtaisetPerustelut/32/40/50/50.html" xr:uid="{00000000-0004-0000-0600-000022020000}"/>
    <hyperlink ref="C652" r:id="rId548" display="http://budjetti.vm.fi/indox/sisalto.jsp?year=2016&amp;lang=fi&amp;maindoc=/2016/aky/aky.xml&amp;id=/2016/aky/YksityiskohtaisetPerustelut/32/40/51/51.html" xr:uid="{00000000-0004-0000-0600-000023020000}"/>
    <hyperlink ref="C653" r:id="rId549" display="http://budjetti.vm.fi/indox/sisalto.jsp?year=2016&amp;lang=fi&amp;maindoc=/2016/aky/aky.xml&amp;id=/2016/aky/YksityiskohtaisetPerustelut/32/40/52/52.html" xr:uid="{00000000-0004-0000-0600-000024020000}"/>
    <hyperlink ref="C654" r:id="rId550" display="http://budjetti.vm.fi/indox/sisalto.jsp?year=2016&amp;lang=fi&amp;maindoc=/2016/aky/aky.xml&amp;id=/2016/aky/YksityiskohtaisetPerustelut/32/40/95/95.html" xr:uid="{00000000-0004-0000-0600-000025020000}"/>
    <hyperlink ref="B656" r:id="rId551" display="http://budjetti.vm.fi/indox/sisalto.jsp?year=2016&amp;lang=fi&amp;maindoc=/2016/aky/aky.xml&amp;id=/2016/aky/YksityiskohtaisetPerustelut/32/50/50.html" xr:uid="{00000000-0004-0000-0600-000026020000}"/>
    <hyperlink ref="C657" r:id="rId552" display="http://budjetti.vm.fi/indox/sisalto.jsp?year=2016&amp;lang=fi&amp;maindoc=/2016/aky/aky.xml&amp;id=/2016/aky/YksityiskohtaisetPerustelut/32/50/40/40.html" xr:uid="{00000000-0004-0000-0600-000027020000}"/>
    <hyperlink ref="C658" r:id="rId553" display="http://budjetti.vm.fi/indox/sisalto.jsp?year=2016&amp;lang=fi&amp;maindoc=/2016/aky/aky.xml&amp;id=/2016/aky/YksityiskohtaisetPerustelut/32/50/64/64.html" xr:uid="{00000000-0004-0000-0600-000028020000}"/>
    <hyperlink ref="B660" r:id="rId554" display="http://budjetti.vm.fi/indox/sisalto.jsp?year=2016&amp;lang=fi&amp;maindoc=/2016/aky/aky.xml&amp;id=/2016/aky/YksityiskohtaisetPerustelut/32/60/60.html" xr:uid="{00000000-0004-0000-0600-000029020000}"/>
    <hyperlink ref="C661" r:id="rId555" display="http://budjetti.vm.fi/indox/sisalto.jsp?year=2016&amp;lang=fi&amp;maindoc=/2016/aky/aky.xml&amp;id=/2016/aky/YksityiskohtaisetPerustelut/32/60/01/01.html" xr:uid="{00000000-0004-0000-0600-00002A020000}"/>
    <hyperlink ref="C662" r:id="rId556" display="http://budjetti.vm.fi/indox/sisalto.jsp?year=2016&amp;lang=fi&amp;maindoc=/2016/aky/aky.xml&amp;id=/2016/aky/YksityiskohtaisetPerustelut/32/60/40/40.html" xr:uid="{00000000-0004-0000-0600-00002B020000}"/>
    <hyperlink ref="C663" r:id="rId557" display="http://budjetti.vm.fi/indox/sisalto.jsp?year=2016&amp;lang=fi&amp;maindoc=/2016/aky/aky.xml&amp;id=/2016/aky/YksityiskohtaisetPerustelut/32/60/41/41.html" xr:uid="{00000000-0004-0000-0600-00002C020000}"/>
    <hyperlink ref="C664" r:id="rId558" display="http://budjetti.vm.fi/indox/sisalto.jsp?year=2016&amp;lang=fi&amp;maindoc=/2016/aky/aky.xml&amp;id=/2016/aky/YksityiskohtaisetPerustelut/32/60/42/42.html" xr:uid="{00000000-0004-0000-0600-00002D020000}"/>
    <hyperlink ref="C665" r:id="rId559" display="http://budjetti.vm.fi/indox/sisalto.jsp?year=2016&amp;lang=fi&amp;maindoc=/2016/aky/aky.xml&amp;id=/2016/aky/YksityiskohtaisetPerustelut/32/60/43/43.html" xr:uid="{00000000-0004-0000-0600-00002E020000}"/>
    <hyperlink ref="C666" r:id="rId560" display="http://budjetti.vm.fi/indox/sisalto.jsp?year=2016&amp;lang=fi&amp;maindoc=/2016/aky/aky.xml&amp;id=/2016/aky/YksityiskohtaisetPerustelut/32/60/44/44.html" xr:uid="{00000000-0004-0000-0600-00002F020000}"/>
    <hyperlink ref="C667" r:id="rId561" display="http://budjetti.vm.fi/indox/sisalto.jsp?year=2016&amp;lang=fi&amp;maindoc=/2016/aky/aky.xml&amp;id=/2016/aky/YksityiskohtaisetPerustelut/32/60/45/45.html" xr:uid="{00000000-0004-0000-0600-000030020000}"/>
    <hyperlink ref="C668" r:id="rId562" display="http://budjetti.vm.fi/indox/sisalto.jsp?year=2016&amp;lang=fi&amp;maindoc=/2016/aky/aky.xml&amp;id=/2016/aky/YksityiskohtaisetPerustelut/32/60/87/87.html" xr:uid="{00000000-0004-0000-0600-000031020000}"/>
    <hyperlink ref="B670" r:id="rId563" display="http://budjetti.vm.fi/indox/sisalto.jsp?year=2016&amp;lang=fi&amp;maindoc=/2016/aky/aky.xml&amp;id=/2016/aky/YksityiskohtaisetPerustelut/32/70/70.html" xr:uid="{00000000-0004-0000-0600-000032020000}"/>
    <hyperlink ref="C671" r:id="rId564" display="http://budjetti.vm.fi/indox/sisalto.jsp?year=2016&amp;lang=fi&amp;maindoc=/2016/aky/aky.xml&amp;id=/2016/aky/YksityiskohtaisetPerustelut/32/70/03/03.html" xr:uid="{00000000-0004-0000-0600-000033020000}"/>
    <hyperlink ref="C672" r:id="rId565" display="http://budjetti.vm.fi/indox/sisalto.jsp?year=2016&amp;lang=fi&amp;maindoc=/2016/aky/aky.xml&amp;id=/2016/aky/YksityiskohtaisetPerustelut/32/70/30/30.html" xr:uid="{00000000-0004-0000-0600-000034020000}"/>
    <hyperlink ref="B674" r:id="rId566" display="http://budjetti.vm.fi/indox/sisalto.jsp?year=2016&amp;lang=fi&amp;maindoc=/2016/aky/aky.xml&amp;id=/2016/aky/YksityiskohtaisetPerustelut/33/33.html" xr:uid="{00000000-0004-0000-0600-000035020000}"/>
    <hyperlink ref="B676" r:id="rId567" display="http://budjetti.vm.fi/indox/sisalto.jsp?year=2016&amp;lang=fi&amp;maindoc=/2016/aky/aky.xml&amp;id=/2016/aky/YksityiskohtaisetPerustelut/33/01/01.html" xr:uid="{00000000-0004-0000-0600-000036020000}"/>
    <hyperlink ref="C677" r:id="rId568" display="http://budjetti.vm.fi/indox/sisalto.jsp?year=2016&amp;lang=fi&amp;maindoc=/2016/aky/aky.xml&amp;id=/2016/aky/YksityiskohtaisetPerustelut/33/01/01/01.html" xr:uid="{00000000-0004-0000-0600-000037020000}"/>
    <hyperlink ref="C678" r:id="rId569" display="http://budjetti.vm.fi/indox/sisalto.jsp?year=2016&amp;lang=fi&amp;maindoc=/2016/aky/aky.xml&amp;id=/2016/aky/YksityiskohtaisetPerustelut/33/01/02/02.html" xr:uid="{00000000-0004-0000-0600-000038020000}"/>
    <hyperlink ref="C679" r:id="rId570" display="http://budjetti.vm.fi/indox/sisalto.jsp?year=2016&amp;lang=fi&amp;maindoc=/2016/aky/aky.xml&amp;id=/2016/aky/YksityiskohtaisetPerustelut/33/01/03/03.html" xr:uid="{00000000-0004-0000-0600-000039020000}"/>
    <hyperlink ref="C680" r:id="rId571" display="http://budjetti.vm.fi/indox/sisalto.jsp?year=2016&amp;lang=fi&amp;maindoc=/2016/aky/aky.xml&amp;id=/2016/aky/YksityiskohtaisetPerustelut/33/01/04/04.html" xr:uid="{00000000-0004-0000-0600-00003A020000}"/>
    <hyperlink ref="C681" r:id="rId572" display="http://budjetti.vm.fi/indox/sisalto.jsp?year=2016&amp;lang=fi&amp;maindoc=/2016/aky/aky.xml&amp;id=/2016/aky/YksityiskohtaisetPerustelut/33/01/05/05.html" xr:uid="{00000000-0004-0000-0600-00003B020000}"/>
    <hyperlink ref="C682" r:id="rId573" display="http://budjetti.vm.fi/indox/sisalto.jsp?year=2016&amp;lang=fi&amp;maindoc=/2016/aky/aky.xml&amp;id=/2016/aky/YksityiskohtaisetPerustelut/33/01/06/06.html" xr:uid="{00000000-0004-0000-0600-00003C020000}"/>
    <hyperlink ref="C683" r:id="rId574" display="http://budjetti.vm.fi/indox/sisalto.jsp?year=2016&amp;lang=fi&amp;maindoc=/2016/aky/aky.xml&amp;id=/2016/aky/YksityiskohtaisetPerustelut/33/01/25/25.html" xr:uid="{00000000-0004-0000-0600-00003D020000}"/>
    <hyperlink ref="C684" r:id="rId575" display="http://budjetti.vm.fi/indox/sisalto.jsp?year=2016&amp;lang=fi&amp;maindoc=/2016/aky/aky.xml&amp;id=/2016/aky/YksityiskohtaisetPerustelut/33/01/29/29.html" xr:uid="{00000000-0004-0000-0600-00003E020000}"/>
    <hyperlink ref="C685" r:id="rId576" display="http://budjetti.vm.fi/indox/sisalto.jsp?year=2016&amp;lang=fi&amp;maindoc=/2016/aky/aky.xml&amp;id=/2016/aky/YksityiskohtaisetPerustelut/33/01/66/66.html" xr:uid="{00000000-0004-0000-0600-00003F020000}"/>
    <hyperlink ref="B687" r:id="rId577" display="http://budjetti.vm.fi/indox/sisalto.jsp?year=2016&amp;lang=fi&amp;maindoc=/2016/aky/aky.xml&amp;id=/2016/aky/YksityiskohtaisetPerustelut/33/02/02.html" xr:uid="{00000000-0004-0000-0600-000040020000}"/>
    <hyperlink ref="C688" r:id="rId578" display="http://budjetti.vm.fi/indox/sisalto.jsp?year=2016&amp;lang=fi&amp;maindoc=/2016/aky/aky.xml&amp;id=/2016/aky/YksityiskohtaisetPerustelut/33/02/03/03.html" xr:uid="{00000000-0004-0000-0600-000041020000}"/>
    <hyperlink ref="C689" r:id="rId579" display="http://budjetti.vm.fi/indox/sisalto.jsp?year=2016&amp;lang=fi&amp;maindoc=/2016/aky/aky.xml&amp;id=/2016/aky/YksityiskohtaisetPerustelut/33/02/05/05.html" xr:uid="{00000000-0004-0000-0600-000042020000}"/>
    <hyperlink ref="C690" r:id="rId580" display="http://budjetti.vm.fi/indox/sisalto.jsp?year=2016&amp;lang=fi&amp;maindoc=/2016/aky/aky.xml&amp;id=/2016/aky/YksityiskohtaisetPerustelut/33/02/06/06.html" xr:uid="{00000000-0004-0000-0600-000043020000}"/>
    <hyperlink ref="C691" r:id="rId581" display="http://budjetti.vm.fi/indox/sisalto.jsp?year=2016&amp;lang=fi&amp;maindoc=/2016/aky/aky.xml&amp;id=/2016/aky/YksityiskohtaisetPerustelut/33/02/07/07.html" xr:uid="{00000000-0004-0000-0600-000044020000}"/>
    <hyperlink ref="C692" r:id="rId582" display="http://budjetti.vm.fi/indox/sisalto.jsp?year=2016&amp;lang=fi&amp;maindoc=/2016/aky/aky.xml&amp;id=/2016/aky/YksityiskohtaisetPerustelut/33/02/20/20.html" xr:uid="{00000000-0004-0000-0600-000045020000}"/>
    <hyperlink ref="C693" r:id="rId583" display="http://budjetti.vm.fi/indox/sisalto.jsp?year=2016&amp;lang=fi&amp;maindoc=/2016/aky/aky.xml&amp;id=/2016/aky/YksityiskohtaisetPerustelut/33/02/87/87.html" xr:uid="{00000000-0004-0000-0600-000046020000}"/>
    <hyperlink ref="B695" r:id="rId584" display="http://budjetti.vm.fi/indox/sisalto.jsp?year=2016&amp;lang=fi&amp;maindoc=/2016/aky/aky.xml&amp;id=/2016/aky/YksityiskohtaisetPerustelut/33/03/03.html" xr:uid="{00000000-0004-0000-0600-000047020000}"/>
    <hyperlink ref="C696" r:id="rId585" display="http://budjetti.vm.fi/indox/sisalto.jsp?year=2016&amp;lang=fi&amp;maindoc=/2016/aky/aky.xml&amp;id=/2016/aky/YksityiskohtaisetPerustelut/33/03/04/04.html" xr:uid="{00000000-0004-0000-0600-000048020000}"/>
    <hyperlink ref="C697" r:id="rId586" display="http://budjetti.vm.fi/indox/sisalto.jsp?year=2016&amp;lang=fi&amp;maindoc=/2016/aky/aky.xml&amp;id=/2016/aky/YksityiskohtaisetPerustelut/33/03/31/31.html" xr:uid="{00000000-0004-0000-0600-000049020000}"/>
    <hyperlink ref="C698" r:id="rId587" display="http://budjetti.vm.fi/indox/sisalto.jsp?year=2016&amp;lang=fi&amp;maindoc=/2016/aky/aky.xml&amp;id=/2016/aky/YksityiskohtaisetPerustelut/33/03/50/50.html" xr:uid="{00000000-0004-0000-0600-00004A020000}"/>
    <hyperlink ref="C699" r:id="rId588" display="http://budjetti.vm.fi/indox/sisalto.jsp?year=2016&amp;lang=fi&amp;maindoc=/2016/aky/aky.xml&amp;id=/2016/aky/YksityiskohtaisetPerustelut/33/03/63/63.html" xr:uid="{00000000-0004-0000-0600-00004B020000}"/>
    <hyperlink ref="B701" r:id="rId589" display="http://budjetti.vm.fi/indox/sisalto.jsp?year=2016&amp;lang=fi&amp;maindoc=/2016/aky/aky.xml&amp;id=/2016/aky/YksityiskohtaisetPerustelut/33/10/10.html" xr:uid="{00000000-0004-0000-0600-00004C020000}"/>
    <hyperlink ref="C702" r:id="rId590" display="http://budjetti.vm.fi/indox/sisalto.jsp?year=2016&amp;lang=fi&amp;maindoc=/2016/aky/aky.xml&amp;id=/2016/aky/YksityiskohtaisetPerustelut/33/10/50/50.html" xr:uid="{00000000-0004-0000-0600-00004D020000}"/>
    <hyperlink ref="C703" r:id="rId591" display="http://budjetti.vm.fi/indox/sisalto.jsp?year=2016&amp;lang=fi&amp;maindoc=/2016/aky/aky.xml&amp;id=/2016/aky/YksityiskohtaisetPerustelut/33/10/51/51.html" xr:uid="{00000000-0004-0000-0600-00004E020000}"/>
    <hyperlink ref="C704" r:id="rId592" display="http://budjetti.vm.fi/indox/sisalto.jsp?year=2016&amp;lang=fi&amp;maindoc=/2016/aky/aky.xml&amp;id=/2016/aky/YksityiskohtaisetPerustelut/33/10/52/52.html" xr:uid="{00000000-0004-0000-0600-00004F020000}"/>
    <hyperlink ref="C705" r:id="rId593" display="http://budjetti.vm.fi/indox/sisalto.jsp?year=2016&amp;lang=fi&amp;maindoc=/2016/aky/aky.xml&amp;id=/2016/aky/YksityiskohtaisetPerustelut/33/10/53/53.html" xr:uid="{00000000-0004-0000-0600-000050020000}"/>
    <hyperlink ref="C706" r:id="rId594" display="http://budjetti.vm.fi/indox/sisalto.jsp?year=2016&amp;lang=fi&amp;maindoc=/2016/aky/aky.xml&amp;id=/2016/aky/YksityiskohtaisetPerustelut/33/10/54/54.html" xr:uid="{00000000-0004-0000-0600-000051020000}"/>
    <hyperlink ref="C707" r:id="rId595" display="http://budjetti.vm.fi/indox/sisalto.jsp?year=2016&amp;lang=fi&amp;maindoc=/2016/aky/aky.xml&amp;id=/2016/aky/YksityiskohtaisetPerustelut/33/10/55/55.html" xr:uid="{00000000-0004-0000-0600-000052020000}"/>
    <hyperlink ref="C708" r:id="rId596" display="http://budjetti.vm.fi/indox/sisalto.jsp?year=2016&amp;lang=fi&amp;maindoc=/2016/aky/aky.xml&amp;id=/2016/aky/YksityiskohtaisetPerustelut/33/10/56/56.html" xr:uid="{00000000-0004-0000-0600-000053020000}"/>
    <hyperlink ref="C709" r:id="rId597" display="http://budjetti.vm.fi/indox/sisalto.jsp?year=2016&amp;lang=fi&amp;maindoc=/2016/aky/aky.xml&amp;id=/2016/aky/YksityiskohtaisetPerustelut/33/10/60/60.html" xr:uid="{00000000-0004-0000-0600-000054020000}"/>
    <hyperlink ref="B711" r:id="rId598" display="http://budjetti.vm.fi/indox/sisalto.jsp?year=2016&amp;lang=fi&amp;maindoc=/2016/aky/aky.xml&amp;id=/2016/aky/YksityiskohtaisetPerustelut/33/20/20.html" xr:uid="{00000000-0004-0000-0600-000055020000}"/>
    <hyperlink ref="C712" r:id="rId599" display="http://budjetti.vm.fi/indox/sisalto.jsp?year=2016&amp;lang=fi&amp;maindoc=/2016/aky/aky.xml&amp;id=/2016/aky/YksityiskohtaisetPerustelut/33/20/31/31.html" xr:uid="{00000000-0004-0000-0600-000056020000}"/>
    <hyperlink ref="C713" r:id="rId600" display="http://budjetti.vm.fi/indox/sisalto.jsp?year=2016&amp;lang=fi&amp;maindoc=/2016/aky/aky.xml&amp;id=/2016/aky/YksityiskohtaisetPerustelut/33/20/50/50.html" xr:uid="{00000000-0004-0000-0600-000057020000}"/>
    <hyperlink ref="C714" r:id="rId601" display="http://budjetti.vm.fi/indox/sisalto.jsp?year=2016&amp;lang=fi&amp;maindoc=/2016/aky/aky.xml&amp;id=/2016/aky/YksityiskohtaisetPerustelut/33/20/51/51.html" xr:uid="{00000000-0004-0000-0600-000058020000}"/>
    <hyperlink ref="C715" r:id="rId602" display="http://budjetti.vm.fi/indox/sisalto.jsp?year=2016&amp;lang=fi&amp;maindoc=/2016/aky/aky.xml&amp;id=/2016/aky/YksityiskohtaisetPerustelut/33/20/52/52.html" xr:uid="{00000000-0004-0000-0600-000059020000}"/>
    <hyperlink ref="C716" r:id="rId603" display="http://budjetti.vm.fi/indox/sisalto.jsp?year=2016&amp;lang=fi&amp;maindoc=/2016/aky/aky.xml&amp;id=/2016/aky/YksityiskohtaisetPerustelut/33/20/55/55.html" xr:uid="{00000000-0004-0000-0600-00005A020000}"/>
    <hyperlink ref="C717" r:id="rId604" display="http://budjetti.vm.fi/indox/sisalto.jsp?year=2016&amp;lang=fi&amp;maindoc=/2016/aky/aky.xml&amp;id=/2016/aky/YksityiskohtaisetPerustelut/33/20/56/56.html" xr:uid="{00000000-0004-0000-0600-00005B020000}"/>
    <hyperlink ref="B719" r:id="rId605" display="http://budjetti.vm.fi/indox/sisalto.jsp?year=2016&amp;lang=fi&amp;maindoc=/2016/aky/aky.xml&amp;id=/2016/aky/YksityiskohtaisetPerustelut/33/30/30.html" xr:uid="{00000000-0004-0000-0600-00005C020000}"/>
    <hyperlink ref="C720" r:id="rId606" display="http://budjetti.vm.fi/indox/sisalto.jsp?year=2016&amp;lang=fi&amp;maindoc=/2016/aky/aky.xml&amp;id=/2016/aky/YksityiskohtaisetPerustelut/33/30/60/60.html" xr:uid="{00000000-0004-0000-0600-00005D020000}"/>
    <hyperlink ref="B722" r:id="rId607" display="http://budjetti.vm.fi/indox/sisalto.jsp?year=2016&amp;lang=fi&amp;maindoc=/2016/aky/aky.xml&amp;id=/2016/aky/YksityiskohtaisetPerustelut/33/40/40.html" xr:uid="{00000000-0004-0000-0600-00005E020000}"/>
    <hyperlink ref="C723" r:id="rId608" display="http://budjetti.vm.fi/indox/sisalto.jsp?year=2016&amp;lang=fi&amp;maindoc=/2016/aky/aky.xml&amp;id=/2016/aky/YksityiskohtaisetPerustelut/33/40/50/50.html" xr:uid="{00000000-0004-0000-0600-00005F020000}"/>
    <hyperlink ref="C724" r:id="rId609" display="http://budjetti.vm.fi/indox/sisalto.jsp?year=2016&amp;lang=fi&amp;maindoc=/2016/aky/aky.xml&amp;id=/2016/aky/YksityiskohtaisetPerustelut/33/40/51/51.html" xr:uid="{00000000-0004-0000-0600-000060020000}"/>
    <hyperlink ref="C725" r:id="rId610" display="http://budjetti.vm.fi/indox/sisalto.jsp?year=2016&amp;lang=fi&amp;maindoc=/2016/aky/aky.xml&amp;id=/2016/aky/YksityiskohtaisetPerustelut/33/40/52/52.html" xr:uid="{00000000-0004-0000-0600-000061020000}"/>
    <hyperlink ref="C726" r:id="rId611" display="http://budjetti.vm.fi/indox/sisalto.jsp?year=2016&amp;lang=fi&amp;maindoc=/2016/aky/aky.xml&amp;id=/2016/aky/YksityiskohtaisetPerustelut/33/40/53/53.html" xr:uid="{00000000-0004-0000-0600-000062020000}"/>
    <hyperlink ref="C727" r:id="rId612" display="http://budjetti.vm.fi/indox/sisalto.jsp?year=2016&amp;lang=fi&amp;maindoc=/2016/aky/aky.xml&amp;id=/2016/aky/YksityiskohtaisetPerustelut/33/40/54/54.html" xr:uid="{00000000-0004-0000-0600-000063020000}"/>
    <hyperlink ref="C728" r:id="rId613" display="http://budjetti.vm.fi/indox/sisalto.jsp?year=2016&amp;lang=fi&amp;maindoc=/2016/aky/aky.xml&amp;id=/2016/aky/YksityiskohtaisetPerustelut/33/40/60/60.html" xr:uid="{00000000-0004-0000-0600-000064020000}"/>
    <hyperlink ref="B730" r:id="rId614" display="http://budjetti.vm.fi/indox/sisalto.jsp?year=2016&amp;lang=fi&amp;maindoc=/2016/aky/aky.xml&amp;id=/2016/aky/YksityiskohtaisetPerustelut/33/50/50.html" xr:uid="{00000000-0004-0000-0600-000065020000}"/>
    <hyperlink ref="C731" r:id="rId615" display="http://budjetti.vm.fi/indox/sisalto.jsp?year=2016&amp;lang=fi&amp;maindoc=/2016/aky/aky.xml&amp;id=/2016/aky/YksityiskohtaisetPerustelut/33/50/30/30.html" xr:uid="{00000000-0004-0000-0600-000066020000}"/>
    <hyperlink ref="C732" r:id="rId616" display="http://budjetti.vm.fi/indox/sisalto.jsp?year=2016&amp;lang=fi&amp;maindoc=/2016/aky/aky.xml&amp;id=/2016/aky/YksityiskohtaisetPerustelut/33/50/50/50.html" xr:uid="{00000000-0004-0000-0600-000067020000}"/>
    <hyperlink ref="C733" r:id="rId617" display="http://budjetti.vm.fi/indox/sisalto.jsp?year=2016&amp;lang=fi&amp;maindoc=/2016/aky/aky.xml&amp;id=/2016/aky/YksityiskohtaisetPerustelut/33/50/51/51.html" xr:uid="{00000000-0004-0000-0600-000068020000}"/>
    <hyperlink ref="C734" r:id="rId618" display="http://budjetti.vm.fi/indox/sisalto.jsp?year=2016&amp;lang=fi&amp;maindoc=/2016/aky/aky.xml&amp;id=/2016/aky/YksityiskohtaisetPerustelut/33/50/52/52.html" xr:uid="{00000000-0004-0000-0600-000069020000}"/>
    <hyperlink ref="C735" r:id="rId619" display="http://budjetti.vm.fi/indox/sisalto.jsp?year=2016&amp;lang=fi&amp;maindoc=/2016/aky/aky.xml&amp;id=/2016/aky/YksityiskohtaisetPerustelut/33/50/53/53.html" xr:uid="{00000000-0004-0000-0600-00006A020000}"/>
    <hyperlink ref="C736" r:id="rId620" display="http://budjetti.vm.fi/indox/sisalto.jsp?year=2016&amp;lang=fi&amp;maindoc=/2016/aky/aky.xml&amp;id=/2016/aky/YksityiskohtaisetPerustelut/33/50/54/54.html" xr:uid="{00000000-0004-0000-0600-00006B020000}"/>
    <hyperlink ref="C737" r:id="rId621" display="http://budjetti.vm.fi/indox/sisalto.jsp?year=2016&amp;lang=fi&amp;maindoc=/2016/aky/aky.xml&amp;id=/2016/aky/YksityiskohtaisetPerustelut/33/50/55/55.html" xr:uid="{00000000-0004-0000-0600-00006C020000}"/>
    <hyperlink ref="C738" r:id="rId622" display="http://budjetti.vm.fi/indox/sisalto.jsp?year=2016&amp;lang=fi&amp;maindoc=/2016/aky/aky.xml&amp;id=/2016/aky/YksityiskohtaisetPerustelut/33/50/56/56.html" xr:uid="{00000000-0004-0000-0600-00006D020000}"/>
    <hyperlink ref="C739" r:id="rId623" display="http://budjetti.vm.fi/indox/sisalto.jsp?year=2016&amp;lang=fi&amp;maindoc=/2016/aky/aky.xml&amp;id=/2016/aky/YksityiskohtaisetPerustelut/33/50/57/57.html" xr:uid="{00000000-0004-0000-0600-00006E020000}"/>
    <hyperlink ref="B741" r:id="rId624" display="http://budjetti.vm.fi/indox/sisalto.jsp?year=2016&amp;lang=fi&amp;maindoc=/2016/aky/aky.xml&amp;id=/2016/aky/YksityiskohtaisetPerustelut/33/60/60.html" xr:uid="{00000000-0004-0000-0600-00006F020000}"/>
    <hyperlink ref="C742" r:id="rId625" display="http://budjetti.vm.fi/indox/sisalto.jsp?year=2016&amp;lang=fi&amp;maindoc=/2016/aky/aky.xml&amp;id=/2016/aky/YksityiskohtaisetPerustelut/33/60/30/30.html" xr:uid="{00000000-0004-0000-0600-000070020000}"/>
    <hyperlink ref="C743" r:id="rId626" display="http://budjetti.vm.fi/indox/sisalto.jsp?year=2016&amp;lang=fi&amp;maindoc=/2016/aky/aky.xml&amp;id=/2016/aky/YksityiskohtaisetPerustelut/33/60/31/31.html" xr:uid="{00000000-0004-0000-0600-000071020000}"/>
    <hyperlink ref="C744" r:id="rId627" display="http://budjetti.vm.fi/indox/sisalto.jsp?year=2016&amp;lang=fi&amp;maindoc=/2016/aky/aky.xml&amp;id=/2016/aky/YksityiskohtaisetPerustelut/33/60/32/32.html" xr:uid="{00000000-0004-0000-0600-000072020000}"/>
    <hyperlink ref="C745" r:id="rId628" display="http://budjetti.vm.fi/indox/sisalto.jsp?year=2016&amp;lang=fi&amp;maindoc=/2016/aky/aky.xml&amp;id=/2016/aky/YksityiskohtaisetPerustelut/33/60/33/33.html" xr:uid="{00000000-0004-0000-0600-000073020000}"/>
    <hyperlink ref="C746" r:id="rId629" display="http://budjetti.vm.fi/indox/sisalto.jsp?year=2016&amp;lang=fi&amp;maindoc=/2016/aky/aky.xml&amp;id=/2016/aky/YksityiskohtaisetPerustelut/33/60/34/34.html" xr:uid="{00000000-0004-0000-0600-000074020000}"/>
    <hyperlink ref="C747" r:id="rId630" display="http://budjetti.vm.fi/indox/sisalto.jsp?year=2016&amp;lang=fi&amp;maindoc=/2016/aky/aky.xml&amp;id=/2016/aky/YksityiskohtaisetPerustelut/33/60/35/35.html" xr:uid="{00000000-0004-0000-0600-000075020000}"/>
    <hyperlink ref="C748" r:id="rId631" display="http://budjetti.vm.fi/indox/sisalto.jsp?year=2016&amp;lang=fi&amp;maindoc=/2016/aky/aky.xml&amp;id=/2016/aky/YksityiskohtaisetPerustelut/33/60/36/36.html" xr:uid="{00000000-0004-0000-0600-000076020000}"/>
    <hyperlink ref="C749" r:id="rId632" display="http://budjetti.vm.fi/indox/sisalto.jsp?year=2016&amp;lang=fi&amp;maindoc=/2016/aky/aky.xml&amp;id=/2016/aky/YksityiskohtaisetPerustelut/33/60/40/40.html" xr:uid="{00000000-0004-0000-0600-000077020000}"/>
    <hyperlink ref="C750" r:id="rId633" display="http://budjetti.vm.fi/indox/sisalto.jsp?year=2016&amp;lang=fi&amp;maindoc=/2016/aky/aky.xml&amp;id=/2016/aky/YksityiskohtaisetPerustelut/33/60/50/50.html" xr:uid="{00000000-0004-0000-0600-000078020000}"/>
    <hyperlink ref="C751" r:id="rId634" display="http://budjetti.vm.fi/indox/sisalto.jsp?year=2016&amp;lang=fi&amp;maindoc=/2016/aky/aky.xml&amp;id=/2016/aky/YksityiskohtaisetPerustelut/33/60/52/52.html" xr:uid="{00000000-0004-0000-0600-000079020000}"/>
    <hyperlink ref="C752" r:id="rId635" display="http://budjetti.vm.fi/indox/sisalto.jsp?year=2016&amp;lang=fi&amp;maindoc=/2016/aky/aky.xml&amp;id=/2016/aky/YksityiskohtaisetPerustelut/33/60/63/63.html" xr:uid="{00000000-0004-0000-0600-00007A020000}"/>
    <hyperlink ref="C753" r:id="rId636" display="http://budjetti.vm.fi/indox/sisalto.jsp?year=2016&amp;lang=fi&amp;maindoc=/2016/aky/aky.xml&amp;id=/2016/aky/YksityiskohtaisetPerustelut/33/60/64/64.html" xr:uid="{00000000-0004-0000-0600-00007B020000}"/>
    <hyperlink ref="B755" r:id="rId637" display="http://budjetti.vm.fi/indox/sisalto.jsp?year=2016&amp;lang=fi&amp;maindoc=/2016/aky/aky.xml&amp;id=/2016/aky/YksityiskohtaisetPerustelut/33/70/70.html" xr:uid="{00000000-0004-0000-0600-00007C020000}"/>
    <hyperlink ref="C756" r:id="rId638" display="http://budjetti.vm.fi/indox/sisalto.jsp?year=2016&amp;lang=fi&amp;maindoc=/2016/aky/aky.xml&amp;id=/2016/aky/YksityiskohtaisetPerustelut/33/70/20/20.html" xr:uid="{00000000-0004-0000-0600-00007D020000}"/>
    <hyperlink ref="C757" r:id="rId639" display="http://budjetti.vm.fi/indox/sisalto.jsp?year=2016&amp;lang=fi&amp;maindoc=/2016/aky/aky.xml&amp;id=/2016/aky/YksityiskohtaisetPerustelut/33/70/21/21.html" xr:uid="{00000000-0004-0000-0600-00007E020000}"/>
    <hyperlink ref="C758" r:id="rId640" display="http://budjetti.vm.fi/indox/sisalto.jsp?year=2016&amp;lang=fi&amp;maindoc=/2016/aky/aky.xml&amp;id=/2016/aky/YksityiskohtaisetPerustelut/33/70/22/22.html" xr:uid="{00000000-0004-0000-0600-00007F020000}"/>
    <hyperlink ref="C759" r:id="rId641" display="http://budjetti.vm.fi/indox/sisalto.jsp?year=2016&amp;lang=fi&amp;maindoc=/2016/aky/aky.xml&amp;id=/2016/aky/YksityiskohtaisetPerustelut/33/70/50/50.html" xr:uid="{00000000-0004-0000-0600-000080020000}"/>
    <hyperlink ref="C760" r:id="rId642" display="http://budjetti.vm.fi/indox/sisalto.jsp?year=2016&amp;lang=fi&amp;maindoc=/2016/aky/aky.xml&amp;id=/2016/aky/YksityiskohtaisetPerustelut/33/70/51/51.html" xr:uid="{00000000-0004-0000-0600-000081020000}"/>
    <hyperlink ref="C761" r:id="rId643" display="http://budjetti.vm.fi/indox/sisalto.jsp?year=2016&amp;lang=fi&amp;maindoc=/2016/aky/aky.xml&amp;id=/2016/aky/YksityiskohtaisetPerustelut/33/70/52/52.html" xr:uid="{00000000-0004-0000-0600-000082020000}"/>
    <hyperlink ref="B763" r:id="rId644" display="http://budjetti.vm.fi/indox/sisalto.jsp?year=2016&amp;lang=fi&amp;maindoc=/2016/aky/aky.xml&amp;id=/2016/aky/YksityiskohtaisetPerustelut/33/80/80.html" xr:uid="{00000000-0004-0000-0600-000083020000}"/>
    <hyperlink ref="C764" r:id="rId645" display="http://budjetti.vm.fi/indox/sisalto.jsp?year=2016&amp;lang=fi&amp;maindoc=/2016/aky/aky.xml&amp;id=/2016/aky/YksityiskohtaisetPerustelut/33/80/40/40.html" xr:uid="{00000000-0004-0000-0600-000084020000}"/>
    <hyperlink ref="C765" r:id="rId646" display="http://budjetti.vm.fi/indox/sisalto.jsp?year=2016&amp;lang=fi&amp;maindoc=/2016/aky/aky.xml&amp;id=/2016/aky/YksityiskohtaisetPerustelut/33/80/41/41.html" xr:uid="{00000000-0004-0000-0600-000085020000}"/>
    <hyperlink ref="C766" r:id="rId647" display="http://budjetti.vm.fi/indox/sisalto.jsp?year=2016&amp;lang=fi&amp;maindoc=/2016/aky/aky.xml&amp;id=/2016/aky/YksityiskohtaisetPerustelut/33/80/42/42.html" xr:uid="{00000000-0004-0000-0600-000086020000}"/>
    <hyperlink ref="C767" r:id="rId648" display="http://budjetti.vm.fi/indox/sisalto.jsp?year=2016&amp;lang=fi&amp;maindoc=/2016/aky/aky.xml&amp;id=/2016/aky/YksityiskohtaisetPerustelut/33/80/50/50.html" xr:uid="{00000000-0004-0000-0600-000087020000}"/>
    <hyperlink ref="B769" r:id="rId649" display="http://budjetti.vm.fi/indox/sisalto.jsp?year=2016&amp;lang=fi&amp;maindoc=/2016/aky/aky.xml&amp;id=/2016/aky/YksityiskohtaisetPerustelut/33/90/90.html" xr:uid="{00000000-0004-0000-0600-000088020000}"/>
    <hyperlink ref="C770" r:id="rId650" display="http://budjetti.vm.fi/indox/sisalto.jsp?year=2016&amp;lang=fi&amp;maindoc=/2016/aky/aky.xml&amp;id=/2016/aky/YksityiskohtaisetPerustelut/33/90/50/50.html" xr:uid="{00000000-0004-0000-0600-000089020000}"/>
    <hyperlink ref="B772" r:id="rId651" display="http://budjetti.vm.fi/indox/sisalto.jsp?year=2016&amp;lang=fi&amp;maindoc=/2016/aky/aky.xml&amp;id=/2016/aky/YksityiskohtaisetPerustelut/35/35.html" xr:uid="{00000000-0004-0000-0600-00008A020000}"/>
    <hyperlink ref="B774" r:id="rId652" display="http://budjetti.vm.fi/indox/sisalto.jsp?year=2016&amp;lang=fi&amp;maindoc=/2016/aky/aky.xml&amp;id=/2016/aky/YksityiskohtaisetPerustelut/35/01/01.html" xr:uid="{00000000-0004-0000-0600-00008B020000}"/>
    <hyperlink ref="C775" r:id="rId653" display="http://budjetti.vm.fi/indox/sisalto.jsp?year=2016&amp;lang=fi&amp;maindoc=/2016/aky/aky.xml&amp;id=/2016/aky/YksityiskohtaisetPerustelut/35/01/01/01.html" xr:uid="{00000000-0004-0000-0600-00008C020000}"/>
    <hyperlink ref="C776" r:id="rId654" display="http://budjetti.vm.fi/indox/sisalto.jsp?year=2016&amp;lang=fi&amp;maindoc=/2016/aky/aky.xml&amp;id=/2016/aky/YksityiskohtaisetPerustelut/35/01/04/04.html" xr:uid="{00000000-0004-0000-0600-00008D020000}"/>
    <hyperlink ref="C777" r:id="rId655" display="http://budjetti.vm.fi/indox/sisalto.jsp?year=2016&amp;lang=fi&amp;maindoc=/2016/aky/aky.xml&amp;id=/2016/aky/YksityiskohtaisetPerustelut/35/01/29/29.html" xr:uid="{00000000-0004-0000-0600-00008E020000}"/>
    <hyperlink ref="C778" r:id="rId656" display="http://budjetti.vm.fi/indox/sisalto.jsp?year=2016&amp;lang=fi&amp;maindoc=/2016/aky/aky.xml&amp;id=/2016/aky/YksityiskohtaisetPerustelut/35/01/65/65.html" xr:uid="{00000000-0004-0000-0600-00008F020000}"/>
    <hyperlink ref="B780" r:id="rId657" display="http://budjetti.vm.fi/indox/sisalto.jsp?year=2016&amp;lang=fi&amp;maindoc=/2016/aky/aky.xml&amp;id=/2016/aky/YksityiskohtaisetPerustelut/35/10/10.html" xr:uid="{00000000-0004-0000-0600-000090020000}"/>
    <hyperlink ref="C781" r:id="rId658" display="http://budjetti.vm.fi/indox/sisalto.jsp?year=2016&amp;lang=fi&amp;maindoc=/2016/aky/aky.xml&amp;id=/2016/aky/YksityiskohtaisetPerustelut/35/10/20/20.html" xr:uid="{00000000-0004-0000-0600-000091020000}"/>
    <hyperlink ref="C782" r:id="rId659" display="http://budjetti.vm.fi/indox/sisalto.jsp?year=2016&amp;lang=fi&amp;maindoc=/2016/aky/aky.xml&amp;id=/2016/aky/YksityiskohtaisetPerustelut/35/10/21/21.html" xr:uid="{00000000-0004-0000-0600-000092020000}"/>
    <hyperlink ref="C783" r:id="rId660" display="http://budjetti.vm.fi/indox/sisalto.jsp?year=2016&amp;lang=fi&amp;maindoc=/2016/aky/aky.xml&amp;id=/2016/aky/YksityiskohtaisetPerustelut/35/10/22/22.html" xr:uid="{00000000-0004-0000-0600-000093020000}"/>
    <hyperlink ref="C784" r:id="rId661" display="http://budjetti.vm.fi/indox/sisalto.jsp?year=2016&amp;lang=fi&amp;maindoc=/2016/aky/aky.xml&amp;id=/2016/aky/YksityiskohtaisetPerustelut/35/10/52/52.html" xr:uid="{00000000-0004-0000-0600-000094020000}"/>
    <hyperlink ref="C785" r:id="rId662" display="http://budjetti.vm.fi/indox/sisalto.jsp?year=2016&amp;lang=fi&amp;maindoc=/2016/aky/aky.xml&amp;id=/2016/aky/YksityiskohtaisetPerustelut/35/10/60/60.html" xr:uid="{00000000-0004-0000-0600-000095020000}"/>
    <hyperlink ref="C786" r:id="rId663" display="http://budjetti.vm.fi/indox/sisalto.jsp?year=2016&amp;lang=fi&amp;maindoc=/2016/aky/aky.xml&amp;id=/2016/aky/YksityiskohtaisetPerustelut/35/10/61/61.html" xr:uid="{00000000-0004-0000-0600-000096020000}"/>
    <hyperlink ref="C787" r:id="rId664" display="http://budjetti.vm.fi/indox/sisalto.jsp?year=2016&amp;lang=fi&amp;maindoc=/2016/aky/aky.xml&amp;id=/2016/aky/YksityiskohtaisetPerustelut/35/10/63/63.html" xr:uid="{00000000-0004-0000-0600-000097020000}"/>
    <hyperlink ref="C788" r:id="rId665" display="http://budjetti.vm.fi/indox/sisalto.jsp?year=2016&amp;lang=fi&amp;maindoc=/2016/aky/aky.xml&amp;id=/2016/aky/YksityiskohtaisetPerustelut/35/10/64/64.html" xr:uid="{00000000-0004-0000-0600-000098020000}"/>
    <hyperlink ref="C789" r:id="rId666" display="http://budjetti.vm.fi/indox/sisalto.jsp?year=2016&amp;lang=fi&amp;maindoc=/2016/aky/aky.xml&amp;id=/2016/aky/YksityiskohtaisetPerustelut/35/10/65/65.html" xr:uid="{00000000-0004-0000-0600-000099020000}"/>
    <hyperlink ref="C790" r:id="rId667" display="http://budjetti.vm.fi/indox/sisalto.jsp?year=2016&amp;lang=fi&amp;maindoc=/2016/aky/aky.xml&amp;id=/2016/aky/YksityiskohtaisetPerustelut/35/10/66/66.html" xr:uid="{00000000-0004-0000-0600-00009A020000}"/>
    <hyperlink ref="C791" r:id="rId668" display="http://budjetti.vm.fi/indox/sisalto.jsp?year=2016&amp;lang=fi&amp;maindoc=/2016/aky/aky.xml&amp;id=/2016/aky/YksityiskohtaisetPerustelut/35/10/70/70.html" xr:uid="{00000000-0004-0000-0600-00009B020000}"/>
    <hyperlink ref="B793" r:id="rId669" display="http://budjetti.vm.fi/indox/sisalto.jsp?year=2016&amp;lang=fi&amp;maindoc=/2016/aky/aky.xml&amp;id=/2016/aky/YksityiskohtaisetPerustelut/35/20/20.html" xr:uid="{00000000-0004-0000-0600-00009C020000}"/>
    <hyperlink ref="C794" r:id="rId670" display="http://budjetti.vm.fi/indox/sisalto.jsp?year=2016&amp;lang=fi&amp;maindoc=/2016/aky/aky.xml&amp;id=/2016/aky/YksityiskohtaisetPerustelut/35/20/01/01.html" xr:uid="{00000000-0004-0000-0600-00009D020000}"/>
    <hyperlink ref="C795" r:id="rId671" display="http://budjetti.vm.fi/indox/sisalto.jsp?year=2016&amp;lang=fi&amp;maindoc=/2016/aky/aky.xml&amp;id=/2016/aky/YksityiskohtaisetPerustelut/35/20/02/02.html" xr:uid="{00000000-0004-0000-0600-00009E020000}"/>
    <hyperlink ref="C796" r:id="rId672" display="http://budjetti.vm.fi/indox/sisalto.jsp?year=2016&amp;lang=fi&amp;maindoc=/2016/aky/aky.xml&amp;id=/2016/aky/YksityiskohtaisetPerustelut/35/20/55/55.html" xr:uid="{00000000-0004-0000-0600-00009F020000}"/>
    <hyperlink ref="C797" r:id="rId673" display="http://budjetti.vm.fi/indox/sisalto.jsp?year=2016&amp;lang=fi&amp;maindoc=/2016/aky/aky.xml&amp;id=/2016/aky/YksityiskohtaisetPerustelut/35/20/60/60.html" xr:uid="{00000000-0004-0000-0600-0000A0020000}"/>
    <hyperlink ref="C798" r:id="rId674" display="http://budjetti.vm.fi/indox/sisalto.jsp?year=2016&amp;lang=fi&amp;maindoc=/2016/aky/aky.xml&amp;id=/2016/aky/YksityiskohtaisetPerustelut/35/20/64/64.html" xr:uid="{00000000-0004-0000-0600-0000A1020000}"/>
    <hyperlink ref="B800" r:id="rId675" display="http://budjetti.vm.fi/indox/sisalto.jsp?year=2016&amp;lang=fi&amp;maindoc=/2016/aky/aky.xml&amp;id=/2016/aky/YksityiskohtaisetPerustelut/36/36.html" xr:uid="{00000000-0004-0000-0600-0000A2020000}"/>
    <hyperlink ref="C801" r:id="rId676" display="http://budjetti.vm.fi/indox/sisalto.jsp?year=2016&amp;lang=fi&amp;maindoc=/2016/aky/aky.xml&amp;id=/2016/aky/YksityiskohtaisetPerustelut/36/01/01.html" xr:uid="{00000000-0004-0000-0600-0000A3020000}"/>
    <hyperlink ref="C802" r:id="rId677" display="http://budjetti.vm.fi/indox/sisalto.jsp?year=2016&amp;lang=fi&amp;maindoc=/2016/aky/aky.xml&amp;id=/2016/aky/YksityiskohtaisetPerustelut/36/01/90/90.html" xr:uid="{00000000-0004-0000-0600-0000A4020000}"/>
    <hyperlink ref="C803" r:id="rId678" display="http://budjetti.vm.fi/indox/sisalto.jsp?year=2016&amp;lang=fi&amp;maindoc=/2016/aky/aky.xml&amp;id=/2016/aky/YksityiskohtaisetPerustelut/36/09/09.html" xr:uid="{00000000-0004-0000-0600-0000A5020000}"/>
    <hyperlink ref="C804" r:id="rId679" display="http://budjetti.vm.fi/indox/sisalto.jsp?year=2016&amp;lang=fi&amp;maindoc=/2016/aky/aky.xml&amp;id=/2016/aky/YksityiskohtaisetPerustelut/36/09/20/20.html" xr:uid="{00000000-0004-0000-0600-0000A6020000}"/>
    <hyperlink ref="C15" r:id="rId680" xr:uid="{00000000-0004-0000-0600-0000A7020000}"/>
    <hyperlink ref="C17" r:id="rId681" xr:uid="{00000000-0004-0000-0600-0000A8020000}"/>
  </hyperlinks>
  <pageMargins left="0.7" right="0.7" top="0.75" bottom="0.75" header="0.3" footer="0.3"/>
  <pageSetup paperSize="9" scale="48" orientation="portrait" r:id="rId682"/>
  <rowBreaks count="12" manualBreakCount="12">
    <brk id="140" min="1" max="7" man="1"/>
    <brk id="181" min="1" max="7" man="1"/>
    <brk id="230" min="1" max="7" man="1"/>
    <brk id="263" min="1" max="7" man="1"/>
    <brk id="297" min="1" max="7" man="1"/>
    <brk id="314" min="1" max="7" man="1"/>
    <brk id="402" min="1" max="7" man="1"/>
    <brk id="498" min="1" max="7" man="1"/>
    <brk id="562" min="1" max="7" man="1"/>
    <brk id="601" min="1" max="7" man="1"/>
    <brk id="672" min="1" max="7" man="1"/>
    <brk id="770" min="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9"/>
  <sheetViews>
    <sheetView workbookViewId="0">
      <selection activeCell="J18" sqref="J18"/>
    </sheetView>
  </sheetViews>
  <sheetFormatPr defaultRowHeight="14.4" x14ac:dyDescent="0.3"/>
  <cols>
    <col min="1" max="1" width="51.6640625" bestFit="1" customWidth="1"/>
    <col min="2" max="2" width="17.44140625" bestFit="1" customWidth="1"/>
    <col min="3" max="3" width="14.44140625" bestFit="1" customWidth="1"/>
    <col min="4" max="4" width="11.88671875" bestFit="1" customWidth="1"/>
    <col min="5" max="5" width="12.6640625" bestFit="1" customWidth="1"/>
    <col min="6" max="6" width="14.33203125" bestFit="1" customWidth="1"/>
    <col min="7" max="7" width="2.6640625" style="105" customWidth="1"/>
    <col min="8" max="8" width="19.109375" bestFit="1" customWidth="1"/>
    <col min="9" max="9" width="8.33203125" bestFit="1" customWidth="1"/>
    <col min="10" max="10" width="9.33203125" bestFit="1" customWidth="1"/>
    <col min="12" max="12" width="16.6640625" bestFit="1" customWidth="1"/>
    <col min="14" max="14" width="16" bestFit="1" customWidth="1"/>
    <col min="15" max="15" width="38.5546875" bestFit="1" customWidth="1"/>
    <col min="16" max="16" width="14.44140625" bestFit="1" customWidth="1"/>
    <col min="17" max="17" width="8.33203125" customWidth="1"/>
    <col min="18" max="18" width="12" bestFit="1" customWidth="1"/>
    <col min="19" max="19" width="16.6640625" bestFit="1" customWidth="1"/>
    <col min="20" max="20" width="32.33203125" bestFit="1" customWidth="1"/>
    <col min="21" max="21" width="9.6640625" bestFit="1" customWidth="1"/>
    <col min="22" max="22" width="9.6640625" customWidth="1"/>
    <col min="23" max="23" width="14.33203125" bestFit="1" customWidth="1"/>
    <col min="24" max="24" width="12.33203125" bestFit="1" customWidth="1"/>
    <col min="33" max="33" width="15.44140625" bestFit="1" customWidth="1"/>
    <col min="34" max="34" width="5" bestFit="1" customWidth="1"/>
    <col min="35" max="35" width="16.6640625" bestFit="1" customWidth="1"/>
    <col min="37" max="37" width="16.44140625" bestFit="1" customWidth="1"/>
    <col min="38" max="38" width="38.5546875" bestFit="1" customWidth="1"/>
    <col min="43" max="43" width="32" bestFit="1" customWidth="1"/>
  </cols>
  <sheetData>
    <row r="1" spans="1:46" x14ac:dyDescent="0.3">
      <c r="N1" t="s">
        <v>0</v>
      </c>
      <c r="O1" s="97">
        <f>V_tulot!G28</f>
        <v>17009000000</v>
      </c>
      <c r="P1" s="7">
        <v>0.24</v>
      </c>
      <c r="Q1" s="7">
        <v>0.2</v>
      </c>
      <c r="S1" s="97">
        <f>O1*(Q1/P1)</f>
        <v>14174166666.666668</v>
      </c>
      <c r="AG1" s="105" t="s">
        <v>0</v>
      </c>
      <c r="AH1" s="118">
        <v>0.2</v>
      </c>
      <c r="AI1" s="113">
        <f>S1</f>
        <v>14174166666.666668</v>
      </c>
      <c r="AK1" t="str">
        <f t="shared" ref="AK1:AP1" si="0">N6</f>
        <v>Valtion hallinto</v>
      </c>
      <c r="AL1" t="str">
        <f t="shared" si="0"/>
        <v>Presidentti ja eduskunta</v>
      </c>
      <c r="AM1">
        <f t="shared" si="0"/>
        <v>201</v>
      </c>
      <c r="AN1">
        <f t="shared" si="0"/>
        <v>27273.631840796021</v>
      </c>
      <c r="AO1">
        <f t="shared" si="0"/>
        <v>4000</v>
      </c>
      <c r="AP1">
        <f t="shared" si="0"/>
        <v>9648000</v>
      </c>
      <c r="AR1">
        <f>U6</f>
        <v>200</v>
      </c>
      <c r="AS1">
        <f>V6</f>
        <v>20</v>
      </c>
      <c r="AT1">
        <f>W6</f>
        <v>804000</v>
      </c>
    </row>
    <row r="2" spans="1:46" x14ac:dyDescent="0.3">
      <c r="N2" t="s">
        <v>785</v>
      </c>
      <c r="O2" s="97">
        <f>V_tulot!G23</f>
        <v>9480000000</v>
      </c>
      <c r="P2" s="7">
        <v>0.3</v>
      </c>
      <c r="Q2" s="7">
        <v>0.2</v>
      </c>
      <c r="S2" s="97">
        <f>O2*(Q2/P2)</f>
        <v>6320000000.000001</v>
      </c>
      <c r="AG2" s="105" t="s">
        <v>785</v>
      </c>
      <c r="AH2" s="118">
        <v>0.2</v>
      </c>
      <c r="AI2" s="113">
        <f t="shared" ref="AI2:AI3" si="1">S2</f>
        <v>6320000000.000001</v>
      </c>
      <c r="AL2" t="str">
        <f>T6</f>
        <v>Eduskuntatalo, presidentin asunto</v>
      </c>
    </row>
    <row r="3" spans="1:46" x14ac:dyDescent="0.3">
      <c r="N3" t="s">
        <v>1</v>
      </c>
      <c r="O3" s="97">
        <f>V_tulot!G24</f>
        <v>3278000000</v>
      </c>
      <c r="P3" s="7">
        <v>0.2</v>
      </c>
      <c r="Q3" s="7">
        <v>0.2</v>
      </c>
      <c r="S3" s="97">
        <f>O3*(Q3/P3)</f>
        <v>3278000000</v>
      </c>
      <c r="AG3" s="117" t="s">
        <v>1</v>
      </c>
      <c r="AH3" s="118">
        <v>0.15</v>
      </c>
      <c r="AI3" s="119">
        <f t="shared" si="1"/>
        <v>3278000000</v>
      </c>
      <c r="AK3" t="str">
        <f>N7</f>
        <v>Valtion talous</v>
      </c>
      <c r="AL3" t="str">
        <f>O7</f>
        <v>Talouden hoitajat</v>
      </c>
    </row>
    <row r="4" spans="1:46" x14ac:dyDescent="0.3">
      <c r="A4" s="109" t="s">
        <v>865</v>
      </c>
      <c r="B4" s="105"/>
      <c r="C4" s="105"/>
      <c r="D4" s="105"/>
      <c r="E4" s="105"/>
      <c r="F4" s="105"/>
      <c r="N4" t="s">
        <v>786</v>
      </c>
      <c r="O4" s="97">
        <f>SUM(O1:O3)</f>
        <v>29767000000</v>
      </c>
      <c r="S4" s="97">
        <f>SUM(S1:S3)</f>
        <v>23772166666.666668</v>
      </c>
      <c r="AG4" s="114" t="s">
        <v>792</v>
      </c>
      <c r="AH4" s="115"/>
      <c r="AI4" s="116">
        <f>S23</f>
        <v>6427031000</v>
      </c>
      <c r="AL4" t="s">
        <v>812</v>
      </c>
    </row>
    <row r="5" spans="1:46" x14ac:dyDescent="0.3">
      <c r="A5" s="105" t="s">
        <v>814</v>
      </c>
      <c r="B5" s="105" t="s">
        <v>864</v>
      </c>
      <c r="C5" s="105" t="s">
        <v>863</v>
      </c>
      <c r="D5" s="105"/>
      <c r="E5" s="105" t="s">
        <v>749</v>
      </c>
      <c r="F5" s="105" t="s">
        <v>719</v>
      </c>
      <c r="H5" s="105"/>
      <c r="I5" s="105" t="s">
        <v>863</v>
      </c>
      <c r="J5" s="105"/>
      <c r="K5" s="105"/>
      <c r="L5" s="105"/>
      <c r="O5" t="s">
        <v>780</v>
      </c>
      <c r="T5" t="s">
        <v>781</v>
      </c>
      <c r="AG5" s="105" t="s">
        <v>786</v>
      </c>
      <c r="AH5" s="112"/>
      <c r="AI5" s="113">
        <f>SUM(AI1:AI4)</f>
        <v>30199197666.666668</v>
      </c>
      <c r="AK5" t="str">
        <f>N8</f>
        <v>Laki ja oikeus</v>
      </c>
      <c r="AL5" t="str">
        <f>O8</f>
        <v>Tuomarit ja lakimiehet</v>
      </c>
    </row>
    <row r="6" spans="1:46" x14ac:dyDescent="0.3">
      <c r="A6" s="31" t="str">
        <f>V_tulot!B143</f>
        <v>21. EDUSKUNTA</v>
      </c>
      <c r="B6" s="130">
        <f>D6*Ihmismäärät!$C$14</f>
        <v>162876000</v>
      </c>
      <c r="C6" s="79">
        <f>(V_tulot!G143/12)/Ihmismäärät!$C$14</f>
        <v>2.4759211966435606</v>
      </c>
      <c r="D6" s="80">
        <f t="shared" ref="D6:D22" si="2">C6*12</f>
        <v>29.711054359722727</v>
      </c>
      <c r="E6" s="146">
        <v>800</v>
      </c>
      <c r="F6" s="130">
        <f>B6/E6</f>
        <v>203595</v>
      </c>
      <c r="G6" s="295"/>
      <c r="H6" s="31" t="s">
        <v>765</v>
      </c>
      <c r="I6" s="92">
        <f>C6+C7+C8+C9+C10+C11+C12+C13+C17+C20</f>
        <v>445.18337285662165</v>
      </c>
      <c r="J6" s="87">
        <f>I6*12</f>
        <v>5342.2004742794597</v>
      </c>
      <c r="K6" s="101">
        <f>J6/$J$10</f>
        <v>0.53206883740734279</v>
      </c>
      <c r="L6" s="340">
        <f>J6*Ihmismäärät!$C$14</f>
        <v>29285943000</v>
      </c>
      <c r="M6">
        <v>1</v>
      </c>
      <c r="N6" t="s">
        <v>757</v>
      </c>
      <c r="O6" t="s">
        <v>775</v>
      </c>
      <c r="P6" s="96">
        <v>201</v>
      </c>
      <c r="Q6" s="98">
        <f>Ihmismäärät!$C$14/V_Kuitti!P6</f>
        <v>27273.631840796021</v>
      </c>
      <c r="R6" s="78">
        <v>4000</v>
      </c>
      <c r="S6" s="97">
        <f>R6*12*P6</f>
        <v>9648000</v>
      </c>
      <c r="T6" t="s">
        <v>782</v>
      </c>
      <c r="U6" s="72">
        <v>200</v>
      </c>
      <c r="V6" s="99">
        <v>20</v>
      </c>
      <c r="W6" s="97">
        <f>P6*U6*V6</f>
        <v>804000</v>
      </c>
      <c r="AL6" t="s">
        <v>812</v>
      </c>
      <c r="AM6">
        <f t="shared" ref="AM6:AT13" si="3">P7</f>
        <v>548.20000000000005</v>
      </c>
      <c r="AN6">
        <f t="shared" si="3"/>
        <v>10000</v>
      </c>
      <c r="AO6">
        <f t="shared" si="3"/>
        <v>3500</v>
      </c>
      <c r="AP6">
        <f t="shared" si="3"/>
        <v>23024400.000000004</v>
      </c>
      <c r="AQ6" t="str">
        <f t="shared" si="3"/>
        <v>Toimistot</v>
      </c>
      <c r="AR6">
        <f t="shared" si="3"/>
        <v>200</v>
      </c>
      <c r="AS6">
        <f t="shared" si="3"/>
        <v>20</v>
      </c>
      <c r="AT6">
        <f t="shared" si="3"/>
        <v>2192800.0000000005</v>
      </c>
    </row>
    <row r="7" spans="1:46" x14ac:dyDescent="0.3">
      <c r="A7" s="31" t="str">
        <f>V_tulot!B170</f>
        <v>22. TASAVALLAN PRESIDENTTI</v>
      </c>
      <c r="B7" s="130">
        <f>D7*Ihmismäärät!$C$14</f>
        <v>13455999.999999998</v>
      </c>
      <c r="C7" s="79">
        <f>(V_tulot!G170/12)/Ihmismäärät!$C$14</f>
        <v>0.20454821841177184</v>
      </c>
      <c r="D7" s="80">
        <f t="shared" si="2"/>
        <v>2.4545786209412621</v>
      </c>
      <c r="E7" s="146">
        <v>70</v>
      </c>
      <c r="F7" s="130">
        <f t="shared" ref="F7:F19" si="4">B7/E7</f>
        <v>192228.57142857139</v>
      </c>
      <c r="G7" s="295"/>
      <c r="H7" s="84" t="s">
        <v>766</v>
      </c>
      <c r="I7" s="93">
        <f>C14</f>
        <v>103.36280858567432</v>
      </c>
      <c r="J7" s="88">
        <f t="shared" ref="J7:J9" si="5">I7*12</f>
        <v>1240.3537030280918</v>
      </c>
      <c r="K7" s="103">
        <f t="shared" ref="K7:K9" si="6">J7/$J$10</f>
        <v>0.12353590171717804</v>
      </c>
      <c r="L7" s="341">
        <f>J7*Ihmismäärät!$C$14</f>
        <v>6799618999.999999</v>
      </c>
      <c r="M7">
        <v>2</v>
      </c>
      <c r="N7" t="s">
        <v>770</v>
      </c>
      <c r="O7" t="s">
        <v>774</v>
      </c>
      <c r="P7" s="96">
        <f>Ihmismäärät!$C$14/Q7</f>
        <v>548.20000000000005</v>
      </c>
      <c r="Q7" s="98">
        <v>10000</v>
      </c>
      <c r="R7" s="78">
        <v>3500</v>
      </c>
      <c r="S7" s="97">
        <f>R7*12*P7</f>
        <v>23024400.000000004</v>
      </c>
      <c r="T7" t="s">
        <v>783</v>
      </c>
      <c r="U7" s="72">
        <v>200</v>
      </c>
      <c r="V7" s="99">
        <v>20</v>
      </c>
      <c r="W7" s="97">
        <f t="shared" ref="W7:W13" si="7">P7*U7*V7</f>
        <v>2192800.0000000005</v>
      </c>
      <c r="AK7" t="str">
        <f>N9</f>
        <v>Turvallisuus</v>
      </c>
      <c r="AM7">
        <f t="shared" si="3"/>
        <v>548.20000000000005</v>
      </c>
      <c r="AN7">
        <f t="shared" si="3"/>
        <v>10000</v>
      </c>
      <c r="AO7">
        <f t="shared" si="3"/>
        <v>3500</v>
      </c>
      <c r="AP7">
        <f t="shared" si="3"/>
        <v>23024400.000000004</v>
      </c>
      <c r="AQ7" t="str">
        <f t="shared" si="3"/>
        <v>Toimistot</v>
      </c>
      <c r="AR7">
        <f t="shared" si="3"/>
        <v>200</v>
      </c>
      <c r="AS7">
        <f t="shared" si="3"/>
        <v>20</v>
      </c>
      <c r="AT7">
        <f t="shared" si="3"/>
        <v>2192800.0000000005</v>
      </c>
    </row>
    <row r="8" spans="1:46" x14ac:dyDescent="0.3">
      <c r="A8" s="31" t="str">
        <f>V_tulot!B182</f>
        <v>23. VALTIONEUVOSTON KANSLIA</v>
      </c>
      <c r="B8" s="130">
        <f>D8*Ihmismäärät!$C$14</f>
        <v>210596000</v>
      </c>
      <c r="C8" s="79">
        <f>(V_tulot!G182/12)/Ihmismäärät!$C$14</f>
        <v>3.2013255502857838</v>
      </c>
      <c r="D8" s="80">
        <f t="shared" si="2"/>
        <v>38.415906603429406</v>
      </c>
      <c r="E8" s="146">
        <v>550</v>
      </c>
      <c r="F8" s="130">
        <f t="shared" si="4"/>
        <v>382901.81818181818</v>
      </c>
      <c r="G8" s="295"/>
      <c r="H8" s="123" t="s">
        <v>767</v>
      </c>
      <c r="I8" s="126">
        <f>C18</f>
        <v>200.74703575337469</v>
      </c>
      <c r="J8" s="265">
        <f t="shared" si="5"/>
        <v>2408.9644290404963</v>
      </c>
      <c r="K8" s="266">
        <f t="shared" si="6"/>
        <v>0.23992639536577792</v>
      </c>
      <c r="L8" s="342">
        <f>J8*Ihmismäärät!$C$14</f>
        <v>13205943000</v>
      </c>
      <c r="M8">
        <v>3</v>
      </c>
      <c r="N8" t="s">
        <v>769</v>
      </c>
      <c r="O8" t="s">
        <v>773</v>
      </c>
      <c r="P8" s="96">
        <f>Ihmismäärät!$C$14/Q8</f>
        <v>548.20000000000005</v>
      </c>
      <c r="Q8" s="98">
        <v>10000</v>
      </c>
      <c r="R8" s="78">
        <v>3500</v>
      </c>
      <c r="S8" s="97">
        <f t="shared" ref="S8:S13" si="8">R8*12*P8</f>
        <v>23024400.000000004</v>
      </c>
      <c r="T8" t="s">
        <v>783</v>
      </c>
      <c r="U8" s="72">
        <v>200</v>
      </c>
      <c r="V8" s="99">
        <v>20</v>
      </c>
      <c r="W8" s="97">
        <f t="shared" si="7"/>
        <v>2192800.0000000005</v>
      </c>
      <c r="AL8" t="str">
        <f t="shared" ref="AL8:AL13" si="9">O9</f>
        <v>Poliisit ja palomiehet</v>
      </c>
      <c r="AM8">
        <f t="shared" si="3"/>
        <v>2192.8000000000002</v>
      </c>
      <c r="AN8">
        <f t="shared" si="3"/>
        <v>2500</v>
      </c>
      <c r="AO8">
        <f t="shared" si="3"/>
        <v>3500</v>
      </c>
      <c r="AP8">
        <f t="shared" si="3"/>
        <v>92097600.000000015</v>
      </c>
      <c r="AQ8" t="str">
        <f t="shared" si="3"/>
        <v>Toimistot, kalusto</v>
      </c>
      <c r="AR8">
        <f t="shared" si="3"/>
        <v>200</v>
      </c>
      <c r="AS8">
        <f t="shared" si="3"/>
        <v>20</v>
      </c>
      <c r="AT8">
        <f t="shared" si="3"/>
        <v>8771200.0000000019</v>
      </c>
    </row>
    <row r="9" spans="1:46" x14ac:dyDescent="0.3">
      <c r="A9" s="31" t="str">
        <f>V_tulot!B206</f>
        <v>24. ULKOASIAINMINISTERIÖN HALLINNONALA</v>
      </c>
      <c r="B9" s="130">
        <f>D9*Ihmismäärät!$C$14</f>
        <v>1060213000</v>
      </c>
      <c r="C9" s="79">
        <f>(V_tulot!G206/12)/Ihmismäärät!$C$14</f>
        <v>16.116578499331144</v>
      </c>
      <c r="D9" s="80">
        <f t="shared" si="2"/>
        <v>193.39894199197374</v>
      </c>
      <c r="E9" s="146">
        <v>2100</v>
      </c>
      <c r="F9" s="130">
        <f t="shared" si="4"/>
        <v>504863.33333333331</v>
      </c>
      <c r="G9" s="295"/>
      <c r="H9" s="9" t="s">
        <v>768</v>
      </c>
      <c r="I9" s="95">
        <f>C19+C16+C15</f>
        <v>87.409370059588952</v>
      </c>
      <c r="J9" s="90">
        <f t="shared" si="5"/>
        <v>1048.9124407150675</v>
      </c>
      <c r="K9" s="104">
        <f t="shared" si="6"/>
        <v>0.10446886550970147</v>
      </c>
      <c r="L9" s="343">
        <f>J9*Ihmismäärät!$C$14</f>
        <v>5750138000</v>
      </c>
      <c r="M9">
        <v>4</v>
      </c>
      <c r="N9" t="s">
        <v>788</v>
      </c>
      <c r="O9" t="s">
        <v>789</v>
      </c>
      <c r="P9" s="96">
        <f>Ihmismäärät!$C$14/Q9</f>
        <v>2192.8000000000002</v>
      </c>
      <c r="Q9" s="98">
        <v>2500</v>
      </c>
      <c r="R9" s="78">
        <v>3500</v>
      </c>
      <c r="S9" s="97">
        <f t="shared" si="8"/>
        <v>92097600.000000015</v>
      </c>
      <c r="T9" t="s">
        <v>790</v>
      </c>
      <c r="U9" s="72">
        <v>200</v>
      </c>
      <c r="V9" s="99">
        <v>20</v>
      </c>
      <c r="W9" s="97">
        <f t="shared" si="7"/>
        <v>8771200.0000000019</v>
      </c>
      <c r="AK9" t="str">
        <f>N10</f>
        <v>Puolustusvoimat</v>
      </c>
      <c r="AL9" t="str">
        <f t="shared" si="9"/>
        <v>Rajavartiat, puolustusvoimien työntekijät</v>
      </c>
      <c r="AM9">
        <f t="shared" si="3"/>
        <v>3654.6666666666665</v>
      </c>
      <c r="AN9">
        <f t="shared" si="3"/>
        <v>1500</v>
      </c>
      <c r="AO9">
        <f t="shared" si="3"/>
        <v>3500</v>
      </c>
      <c r="AP9">
        <f t="shared" si="3"/>
        <v>153496000</v>
      </c>
      <c r="AQ9" t="str">
        <f t="shared" si="3"/>
        <v>Rakennukset</v>
      </c>
      <c r="AR9">
        <f t="shared" si="3"/>
        <v>150</v>
      </c>
      <c r="AS9">
        <f t="shared" si="3"/>
        <v>20</v>
      </c>
      <c r="AT9">
        <f t="shared" si="3"/>
        <v>10964000</v>
      </c>
    </row>
    <row r="10" spans="1:46" x14ac:dyDescent="0.3">
      <c r="A10" s="31" t="str">
        <f>V_tulot!B232</f>
        <v>25. OIKEUSMINISTERIÖN HALLINNONALA</v>
      </c>
      <c r="B10" s="130">
        <f>D10*Ihmismäärät!$C$14</f>
        <v>925500000</v>
      </c>
      <c r="C10" s="79">
        <f>(V_tulot!G232/12)/Ihmismäärät!$C$14</f>
        <v>14.068770521707407</v>
      </c>
      <c r="D10" s="80">
        <f t="shared" si="2"/>
        <v>168.82524626048888</v>
      </c>
      <c r="E10" s="146">
        <v>8500</v>
      </c>
      <c r="F10" s="130">
        <f t="shared" si="4"/>
        <v>108882.35294117648</v>
      </c>
      <c r="G10" s="295"/>
      <c r="H10" s="105" t="s">
        <v>751</v>
      </c>
      <c r="I10" s="106">
        <f>SUM(I6:I9)</f>
        <v>836.70258725525957</v>
      </c>
      <c r="J10" s="107">
        <f>SUM(J6:J9)</f>
        <v>10040.431047063114</v>
      </c>
      <c r="K10" s="108">
        <f>SUM(K6:K9)</f>
        <v>1.0000000000000002</v>
      </c>
      <c r="L10" s="344">
        <f>SUM(L6:L9)</f>
        <v>55041643000</v>
      </c>
      <c r="M10">
        <v>5</v>
      </c>
      <c r="N10" t="s">
        <v>771</v>
      </c>
      <c r="O10" t="s">
        <v>776</v>
      </c>
      <c r="P10" s="96">
        <f>Ihmismäärät!$C$14/Q10</f>
        <v>3654.6666666666665</v>
      </c>
      <c r="Q10" s="98">
        <v>1500</v>
      </c>
      <c r="R10" s="78">
        <v>3500</v>
      </c>
      <c r="S10" s="97">
        <f t="shared" si="8"/>
        <v>153496000</v>
      </c>
      <c r="T10" t="s">
        <v>794</v>
      </c>
      <c r="U10" s="72">
        <v>150</v>
      </c>
      <c r="V10" s="99">
        <v>20</v>
      </c>
      <c r="W10" s="97">
        <f t="shared" si="7"/>
        <v>10964000</v>
      </c>
      <c r="AK10" t="str">
        <f>N11</f>
        <v>Terveydenhuolto</v>
      </c>
      <c r="AL10" t="str">
        <f t="shared" si="9"/>
        <v>Lääkärit ja hoitajat</v>
      </c>
      <c r="AM10">
        <f t="shared" si="3"/>
        <v>109640</v>
      </c>
      <c r="AN10">
        <f t="shared" si="3"/>
        <v>50</v>
      </c>
      <c r="AO10">
        <f t="shared" si="3"/>
        <v>3500</v>
      </c>
      <c r="AP10">
        <f t="shared" si="3"/>
        <v>4604880000</v>
      </c>
      <c r="AQ10" t="str">
        <f t="shared" si="3"/>
        <v>Rakennukset, laitteet</v>
      </c>
      <c r="AR10">
        <f t="shared" si="3"/>
        <v>200</v>
      </c>
      <c r="AS10">
        <f t="shared" si="3"/>
        <v>20</v>
      </c>
      <c r="AT10">
        <f t="shared" si="3"/>
        <v>438560000</v>
      </c>
    </row>
    <row r="11" spans="1:46" x14ac:dyDescent="0.3">
      <c r="A11" s="31" t="str">
        <f>V_tulot!B265</f>
        <v>26. SISÄMINISTERIÖN HALLINNONALA</v>
      </c>
      <c r="B11" s="130">
        <f>D11*Ihmismäärät!$C$14</f>
        <v>1994623999.9999998</v>
      </c>
      <c r="C11" s="79">
        <f>(V_tulot!G265/12)/Ihmismäärät!$C$14</f>
        <v>30.320807491183263</v>
      </c>
      <c r="D11" s="80">
        <f t="shared" si="2"/>
        <v>363.84968989419917</v>
      </c>
      <c r="E11" s="146">
        <v>14600</v>
      </c>
      <c r="F11" s="130">
        <f t="shared" si="4"/>
        <v>136618.08219178079</v>
      </c>
      <c r="G11" s="295"/>
      <c r="M11">
        <v>6</v>
      </c>
      <c r="N11" t="s">
        <v>772</v>
      </c>
      <c r="O11" t="s">
        <v>777</v>
      </c>
      <c r="P11" s="96">
        <f>Ihmismäärät!$C$14/Q11</f>
        <v>109640</v>
      </c>
      <c r="Q11" s="98">
        <v>50</v>
      </c>
      <c r="R11" s="78">
        <v>3500</v>
      </c>
      <c r="S11" s="97">
        <f t="shared" si="8"/>
        <v>4604880000</v>
      </c>
      <c r="T11" t="s">
        <v>784</v>
      </c>
      <c r="U11" s="72">
        <v>200</v>
      </c>
      <c r="V11" s="99">
        <v>20</v>
      </c>
      <c r="W11" s="97">
        <f t="shared" si="7"/>
        <v>438560000</v>
      </c>
      <c r="AK11" t="str">
        <f>N12</f>
        <v>Koulutus</v>
      </c>
      <c r="AL11" t="str">
        <f t="shared" si="9"/>
        <v>Opettajat</v>
      </c>
      <c r="AM11">
        <f t="shared" si="3"/>
        <v>78314.28571428571</v>
      </c>
      <c r="AN11">
        <f t="shared" si="3"/>
        <v>70</v>
      </c>
      <c r="AO11">
        <f t="shared" si="3"/>
        <v>3500</v>
      </c>
      <c r="AP11">
        <f t="shared" si="3"/>
        <v>3289200000</v>
      </c>
      <c r="AQ11" t="str">
        <f t="shared" si="3"/>
        <v>Koulut, laitteet</v>
      </c>
      <c r="AR11">
        <f t="shared" si="3"/>
        <v>100</v>
      </c>
      <c r="AS11">
        <f t="shared" si="3"/>
        <v>40</v>
      </c>
      <c r="AT11">
        <f t="shared" si="3"/>
        <v>313257142.85714281</v>
      </c>
    </row>
    <row r="12" spans="1:46" x14ac:dyDescent="0.3">
      <c r="A12" s="31" t="str">
        <f>V_tulot!B299</f>
        <v>27. PUOLUSTUSMINISTERIÖN HALLINNONALA</v>
      </c>
      <c r="B12" s="130">
        <f>D12*Ihmismäärät!$C$14</f>
        <v>2884597000</v>
      </c>
      <c r="C12" s="79">
        <f>(V_tulot!G299/12)/Ihmismäärät!$C$14</f>
        <v>43.849522680287002</v>
      </c>
      <c r="D12" s="80">
        <f t="shared" si="2"/>
        <v>526.194272163444</v>
      </c>
      <c r="E12" s="146">
        <v>13020</v>
      </c>
      <c r="F12" s="130">
        <f t="shared" si="4"/>
        <v>221551.22887864822</v>
      </c>
      <c r="G12" s="295"/>
      <c r="M12">
        <v>7</v>
      </c>
      <c r="N12" t="s">
        <v>766</v>
      </c>
      <c r="O12" t="s">
        <v>778</v>
      </c>
      <c r="P12" s="96">
        <f>Ihmismäärät!$C$14/Q12</f>
        <v>78314.28571428571</v>
      </c>
      <c r="Q12" s="98">
        <v>70</v>
      </c>
      <c r="R12" s="78">
        <v>3500</v>
      </c>
      <c r="S12" s="97">
        <f t="shared" si="8"/>
        <v>3289200000</v>
      </c>
      <c r="T12" t="s">
        <v>779</v>
      </c>
      <c r="U12" s="72">
        <v>100</v>
      </c>
      <c r="V12" s="99">
        <v>40</v>
      </c>
      <c r="W12" s="97">
        <f t="shared" si="7"/>
        <v>313257142.85714281</v>
      </c>
      <c r="AK12" t="str">
        <f>N13</f>
        <v>Ympäristö</v>
      </c>
      <c r="AL12">
        <f t="shared" si="9"/>
        <v>0</v>
      </c>
      <c r="AM12">
        <f t="shared" si="3"/>
        <v>219.28</v>
      </c>
      <c r="AN12">
        <f t="shared" si="3"/>
        <v>25000</v>
      </c>
      <c r="AO12">
        <f t="shared" si="3"/>
        <v>3500</v>
      </c>
      <c r="AP12">
        <f t="shared" si="3"/>
        <v>9209760</v>
      </c>
      <c r="AQ12" t="str">
        <f t="shared" si="3"/>
        <v>Rakennukset ja laitteet</v>
      </c>
      <c r="AR12">
        <f t="shared" si="3"/>
        <v>200</v>
      </c>
      <c r="AS12">
        <f t="shared" si="3"/>
        <v>100</v>
      </c>
      <c r="AT12">
        <f t="shared" si="3"/>
        <v>4385600</v>
      </c>
    </row>
    <row r="13" spans="1:46" x14ac:dyDescent="0.3">
      <c r="A13" s="31" t="str">
        <f>V_tulot!B316</f>
        <v>28. VALTIOVARAINMINISTERIÖN HALLINNONALA</v>
      </c>
      <c r="B13" s="130">
        <f>D13*Ihmismäärät!$C$14</f>
        <v>17397734000</v>
      </c>
      <c r="C13" s="79">
        <f>(V_tulot!G316/12)/Ihmismäärät!$C$14</f>
        <v>264.46756050103369</v>
      </c>
      <c r="D13" s="80">
        <f t="shared" si="2"/>
        <v>3173.6107260124045</v>
      </c>
      <c r="E13" s="146">
        <v>11450</v>
      </c>
      <c r="F13" s="130">
        <f t="shared" si="4"/>
        <v>1519452.7510917031</v>
      </c>
      <c r="G13" s="295"/>
      <c r="M13">
        <v>8</v>
      </c>
      <c r="N13" t="s">
        <v>768</v>
      </c>
      <c r="P13" s="96">
        <f>Ihmismäärät!$C$14/Q13</f>
        <v>219.28</v>
      </c>
      <c r="Q13" s="98">
        <v>25000</v>
      </c>
      <c r="R13" s="78">
        <v>3500</v>
      </c>
      <c r="S13" s="97">
        <f t="shared" si="8"/>
        <v>9209760</v>
      </c>
      <c r="T13" t="s">
        <v>793</v>
      </c>
      <c r="U13" s="72">
        <v>200</v>
      </c>
      <c r="V13" s="99">
        <v>100</v>
      </c>
      <c r="W13" s="97">
        <f t="shared" si="7"/>
        <v>4385600</v>
      </c>
      <c r="AK13" t="str">
        <f>N14</f>
        <v>YHTEENSÄ</v>
      </c>
      <c r="AL13">
        <f t="shared" si="9"/>
        <v>0</v>
      </c>
      <c r="AM13">
        <f t="shared" si="3"/>
        <v>195318.43238095238</v>
      </c>
      <c r="AN13">
        <f t="shared" si="3"/>
        <v>3.5629046402946438E-2</v>
      </c>
      <c r="AO13">
        <f t="shared" si="3"/>
        <v>0</v>
      </c>
      <c r="AP13">
        <f t="shared" si="3"/>
        <v>8204580160</v>
      </c>
      <c r="AQ13">
        <f t="shared" si="3"/>
        <v>0</v>
      </c>
      <c r="AR13">
        <f t="shared" si="3"/>
        <v>0</v>
      </c>
      <c r="AS13">
        <f t="shared" si="3"/>
        <v>0</v>
      </c>
      <c r="AT13">
        <f t="shared" si="3"/>
        <v>781127542.85714281</v>
      </c>
    </row>
    <row r="14" spans="1:46" x14ac:dyDescent="0.3">
      <c r="A14" s="84" t="str">
        <f>V_tulot!B404</f>
        <v>29. OPETUS- JA KULTTUURIMINISTERIÖN HALLINNONALA</v>
      </c>
      <c r="B14" s="122">
        <f>D14*Ihmismäärät!$C$14</f>
        <v>6799618999.999999</v>
      </c>
      <c r="C14" s="85">
        <f>(V_tulot!G404/12)/Ihmismäärät!$C$14</f>
        <v>103.36280858567432</v>
      </c>
      <c r="D14" s="86">
        <f t="shared" si="2"/>
        <v>1240.3537030280918</v>
      </c>
      <c r="E14" s="144">
        <v>1980</v>
      </c>
      <c r="F14" s="122">
        <f t="shared" si="4"/>
        <v>3434151.0101010096</v>
      </c>
      <c r="G14" s="295"/>
      <c r="N14" t="s">
        <v>758</v>
      </c>
      <c r="P14" s="96">
        <f>SUM(P6:P13)</f>
        <v>195318.43238095238</v>
      </c>
      <c r="Q14" s="11">
        <f>P14/Ihmismäärät!$C$14</f>
        <v>3.5629046402946438E-2</v>
      </c>
      <c r="S14" s="97">
        <f>SUM(S6:S13)</f>
        <v>8204580160</v>
      </c>
      <c r="W14" s="97">
        <f>SUM(W6:W13)</f>
        <v>781127542.85714281</v>
      </c>
    </row>
    <row r="15" spans="1:46" x14ac:dyDescent="0.3">
      <c r="A15" s="9" t="str">
        <f>V_tulot!B500</f>
        <v>30. MAA- JA METSÄTALOUSMINISTERIÖN HALLINNONALA</v>
      </c>
      <c r="B15" s="136">
        <f>D15*Ihmismäärät!$C$14</f>
        <v>2572835000</v>
      </c>
      <c r="C15" s="81">
        <f>(V_tulot!G500/12)/Ihmismäärät!$C$14</f>
        <v>39.110345980785603</v>
      </c>
      <c r="D15" s="82">
        <f t="shared" si="2"/>
        <v>469.3241517694272</v>
      </c>
      <c r="E15" s="145">
        <v>5000</v>
      </c>
      <c r="F15" s="136">
        <f t="shared" si="4"/>
        <v>514567</v>
      </c>
      <c r="G15" s="295"/>
      <c r="S15" s="97">
        <f>S14+W14</f>
        <v>8985707702.8571434</v>
      </c>
    </row>
    <row r="16" spans="1:46" x14ac:dyDescent="0.3">
      <c r="A16" s="9" t="str">
        <f>V_tulot!B564</f>
        <v>31. LIIKENNE- JA VIESTINTÄMINISTERIÖN HALLINNONALA</v>
      </c>
      <c r="B16" s="136">
        <f>D16*Ihmismäärät!$C$14</f>
        <v>2973063000</v>
      </c>
      <c r="C16" s="81">
        <f>(V_tulot!G564/12)/Ihmismäärät!$C$14</f>
        <v>45.194317767238232</v>
      </c>
      <c r="D16" s="82">
        <f t="shared" si="2"/>
        <v>542.33181320685878</v>
      </c>
      <c r="E16" s="145">
        <v>5031</v>
      </c>
      <c r="F16" s="136">
        <f t="shared" si="4"/>
        <v>590948.717948718</v>
      </c>
      <c r="G16" s="295"/>
    </row>
    <row r="17" spans="1:19" x14ac:dyDescent="0.3">
      <c r="A17" s="31" t="str">
        <f>V_tulot!B603</f>
        <v>32. TYÖ- JA ELINKEINOMINISTERIÖN HALLINNONALA</v>
      </c>
      <c r="B17" s="130">
        <f>D17*Ihmismäärät!$C$14</f>
        <v>3088246999.9999995</v>
      </c>
      <c r="C17" s="79">
        <f>(V_tulot!G603/12)/Ihmismäärät!$C$14</f>
        <v>46.945260245652435</v>
      </c>
      <c r="D17" s="80">
        <f t="shared" si="2"/>
        <v>563.34312294782922</v>
      </c>
      <c r="E17" s="146">
        <v>8410</v>
      </c>
      <c r="F17" s="130">
        <f t="shared" si="4"/>
        <v>367211.2960760998</v>
      </c>
      <c r="G17" s="295"/>
      <c r="M17">
        <v>9</v>
      </c>
      <c r="N17" t="s">
        <v>795</v>
      </c>
      <c r="S17" s="97">
        <v>3000000000</v>
      </c>
    </row>
    <row r="18" spans="1:19" x14ac:dyDescent="0.3">
      <c r="A18" s="123" t="str">
        <f>V_tulot!B674</f>
        <v>33. SOSIAALI- JA TERVEYSMINISTERIÖN HALLINNONALA</v>
      </c>
      <c r="B18" s="127">
        <f>D18*Ihmismäärät!$C$14</f>
        <v>13205943000</v>
      </c>
      <c r="C18" s="185">
        <f>(V_tulot!G674/12)/Ihmismäärät!$C$14</f>
        <v>200.74703575337469</v>
      </c>
      <c r="D18" s="186">
        <f t="shared" si="2"/>
        <v>2408.9644290404963</v>
      </c>
      <c r="E18" s="143">
        <v>2050</v>
      </c>
      <c r="F18" s="127">
        <f t="shared" si="4"/>
        <v>6441923.4146341467</v>
      </c>
      <c r="G18" s="295"/>
      <c r="M18">
        <v>10</v>
      </c>
      <c r="N18" t="s">
        <v>796</v>
      </c>
      <c r="S18" s="97">
        <v>2000000000</v>
      </c>
    </row>
    <row r="19" spans="1:19" x14ac:dyDescent="0.3">
      <c r="A19" s="9" t="str">
        <f>V_tulot!B772</f>
        <v>35. YMPÄRISTÖMINISTERIÖN HALLINNONALA</v>
      </c>
      <c r="B19" s="136">
        <f>D19*Ihmismäärät!$C$14</f>
        <v>204240000</v>
      </c>
      <c r="C19" s="81">
        <f>(V_tulot!G772/12)/Ihmismäärät!$C$14</f>
        <v>3.1047063115651223</v>
      </c>
      <c r="D19" s="82">
        <f t="shared" si="2"/>
        <v>37.256475738781468</v>
      </c>
      <c r="E19" s="145">
        <v>935</v>
      </c>
      <c r="F19" s="136">
        <f t="shared" si="4"/>
        <v>218438.50267379679</v>
      </c>
      <c r="G19" s="295"/>
      <c r="M19">
        <v>11</v>
      </c>
      <c r="N19" t="s">
        <v>791</v>
      </c>
      <c r="S19" s="97">
        <f>SUM(S20:S22)-S23</f>
        <v>-3065836000</v>
      </c>
    </row>
    <row r="20" spans="1:19" x14ac:dyDescent="0.3">
      <c r="A20" s="31" t="str">
        <f>V_tulot!B800</f>
        <v>36. VALTIONVELAN KOROT</v>
      </c>
      <c r="B20" s="130">
        <f>D20*Ihmismäärät!$C$14</f>
        <v>1548099999.9999998</v>
      </c>
      <c r="C20" s="79">
        <f>(V_tulot!G800/12)/Ihmismäärät!$C$14</f>
        <v>23.533077952085613</v>
      </c>
      <c r="D20" s="80">
        <f t="shared" si="2"/>
        <v>282.39693542502732</v>
      </c>
      <c r="E20" s="146"/>
      <c r="F20" s="80"/>
      <c r="G20" s="295"/>
      <c r="N20" t="s">
        <v>741</v>
      </c>
      <c r="S20" s="97">
        <f>V_tulot!G800</f>
        <v>1548100000</v>
      </c>
    </row>
    <row r="21" spans="1:19" x14ac:dyDescent="0.3">
      <c r="A21" s="31" t="s">
        <v>687</v>
      </c>
      <c r="B21" s="130"/>
      <c r="C21" s="79"/>
      <c r="D21" s="80"/>
      <c r="E21" s="146">
        <v>421000</v>
      </c>
      <c r="F21" s="80"/>
      <c r="G21" s="295"/>
      <c r="S21" s="97"/>
    </row>
    <row r="22" spans="1:19" x14ac:dyDescent="0.3">
      <c r="A22" s="109" t="s">
        <v>758</v>
      </c>
      <c r="B22" s="269">
        <f>SUM(B6:B20)</f>
        <v>55041643000</v>
      </c>
      <c r="C22" s="110">
        <f>SUM(C6:C20)</f>
        <v>836.70258725525957</v>
      </c>
      <c r="D22" s="111">
        <f t="shared" si="2"/>
        <v>10040.431047063115</v>
      </c>
      <c r="E22" s="249">
        <f>SUM(E6:E21)</f>
        <v>495496</v>
      </c>
      <c r="F22" s="269">
        <f>B22/E22</f>
        <v>111083.93004181668</v>
      </c>
      <c r="G22" s="111"/>
      <c r="N22" t="s">
        <v>787</v>
      </c>
      <c r="S22" s="97">
        <f>V_tulot!F394+V_tulot!F390+V_tulot!F391+V_tulot!F392+V_tulot!F393+V_tulot!F395+V_tulot!F396+V_tulot!F521+V_tulot!F528+V_tulot!F532+V_tulot!F658+V_tulot!F788-V_tulot!G61-V_tulot!G78-V_tulot!G79-V_tulot!G86-V_tulot!G87-V_tulot!G88-V_tulot!G89</f>
        <v>1813095000</v>
      </c>
    </row>
    <row r="23" spans="1:19" x14ac:dyDescent="0.3">
      <c r="A23" s="105"/>
      <c r="B23" s="296">
        <f>B22/12</f>
        <v>4586803583.333333</v>
      </c>
      <c r="C23" s="105"/>
      <c r="D23" s="109"/>
      <c r="E23" s="105"/>
      <c r="F23" s="296">
        <f>F22/12</f>
        <v>9256.9941701513908</v>
      </c>
      <c r="H23">
        <v>3500</v>
      </c>
      <c r="N23" t="s">
        <v>792</v>
      </c>
      <c r="S23" s="97">
        <f>V_tulot!G133</f>
        <v>6427031000</v>
      </c>
    </row>
    <row r="24" spans="1:19" x14ac:dyDescent="0.3">
      <c r="A24" t="s">
        <v>759</v>
      </c>
    </row>
    <row r="25" spans="1:19" x14ac:dyDescent="0.3">
      <c r="A25" t="s">
        <v>760</v>
      </c>
      <c r="S25" s="97">
        <f>S14+W14+S19+S17+S18</f>
        <v>10919871702.857143</v>
      </c>
    </row>
    <row r="26" spans="1:19" x14ac:dyDescent="0.3">
      <c r="S26" s="97">
        <f>S4-S25</f>
        <v>12852294963.809525</v>
      </c>
    </row>
    <row r="27" spans="1:19" x14ac:dyDescent="0.3">
      <c r="A27" t="s">
        <v>761</v>
      </c>
      <c r="N27" s="31" t="s">
        <v>765</v>
      </c>
      <c r="O27" s="92">
        <f>P27/12</f>
        <v>50.562677854797521</v>
      </c>
      <c r="P27" s="87">
        <f>(S6+S7+S8+S9+S10+W6+W7+W8+W9+W10+S17)/Ihmismäärät!$C$14</f>
        <v>606.75213425757022</v>
      </c>
      <c r="Q27" s="11">
        <f>P27/$J$10</f>
        <v>6.0430885030085327E-2</v>
      </c>
      <c r="S27" s="100">
        <f>Ihmismäärät!C14-Ihmismäärät!C26</f>
        <v>3034000</v>
      </c>
    </row>
    <row r="28" spans="1:19" x14ac:dyDescent="0.3">
      <c r="A28" t="s">
        <v>762</v>
      </c>
      <c r="N28" s="84" t="s">
        <v>766</v>
      </c>
      <c r="O28" s="93">
        <f t="shared" ref="O28:O30" si="10">P28/12</f>
        <v>54.761904761904759</v>
      </c>
      <c r="P28" s="88">
        <f>(S12+W12)/Ihmismäärät!$C$14</f>
        <v>657.14285714285711</v>
      </c>
      <c r="Q28" s="11">
        <f t="shared" ref="Q28:Q30" si="11">P28/$J$10</f>
        <v>6.5449665862211695E-2</v>
      </c>
      <c r="S28" s="97">
        <f>S26/S27</f>
        <v>4236.0893091000407</v>
      </c>
    </row>
    <row r="29" spans="1:19" x14ac:dyDescent="0.3">
      <c r="A29" t="s">
        <v>763</v>
      </c>
      <c r="N29" s="83" t="s">
        <v>767</v>
      </c>
      <c r="O29" s="94">
        <f t="shared" si="10"/>
        <v>76.666666666666671</v>
      </c>
      <c r="P29" s="89">
        <f>(S11+W11)/Ihmismäärät!$C$14</f>
        <v>920</v>
      </c>
      <c r="Q29" s="11">
        <f t="shared" si="11"/>
        <v>9.1629532207096381E-2</v>
      </c>
      <c r="S29" s="78">
        <f>S28/12</f>
        <v>353.00744242500338</v>
      </c>
    </row>
    <row r="30" spans="1:19" x14ac:dyDescent="0.3">
      <c r="A30" t="s">
        <v>764</v>
      </c>
      <c r="N30" s="9" t="s">
        <v>768</v>
      </c>
      <c r="O30" s="95">
        <f t="shared" si="10"/>
        <v>30.60919615712027</v>
      </c>
      <c r="P30" s="90">
        <f>(S13+S18+W13)/Ihmismäärät!$C$14</f>
        <v>367.31035388544325</v>
      </c>
      <c r="Q30" s="11">
        <f t="shared" si="11"/>
        <v>3.6583125979724122E-2</v>
      </c>
    </row>
    <row r="31" spans="1:19" x14ac:dyDescent="0.3">
      <c r="N31" t="s">
        <v>751</v>
      </c>
      <c r="O31" s="78">
        <f>SUM(O27:O30)</f>
        <v>212.60044544048924</v>
      </c>
      <c r="P31" s="91">
        <f>SUM(P27:P30)</f>
        <v>2551.2053452858709</v>
      </c>
    </row>
    <row r="32" spans="1:19" x14ac:dyDescent="0.3">
      <c r="H32" s="337">
        <f>H23-F23</f>
        <v>-5756.9941701513908</v>
      </c>
    </row>
    <row r="33" spans="8:19" x14ac:dyDescent="0.3">
      <c r="H33">
        <f>H32/F23</f>
        <v>-0.62190750737582456</v>
      </c>
      <c r="R33">
        <v>1500</v>
      </c>
    </row>
    <row r="35" spans="8:19" x14ac:dyDescent="0.3">
      <c r="O35">
        <v>120000</v>
      </c>
    </row>
    <row r="36" spans="8:19" x14ac:dyDescent="0.3">
      <c r="O36" s="7">
        <v>4.1000000000000003E-3</v>
      </c>
      <c r="P36">
        <v>3500</v>
      </c>
      <c r="Q36" s="7">
        <v>0.1</v>
      </c>
      <c r="R36">
        <f>P36*(1-Q36)</f>
        <v>3150</v>
      </c>
    </row>
    <row r="37" spans="8:19" x14ac:dyDescent="0.3">
      <c r="O37">
        <f>O35*O36</f>
        <v>492.00000000000006</v>
      </c>
      <c r="P37">
        <f>P36</f>
        <v>3500</v>
      </c>
      <c r="Q37" s="7">
        <v>0.2</v>
      </c>
      <c r="R37">
        <f>P37*(1-Q37)</f>
        <v>2800</v>
      </c>
      <c r="S37">
        <f>R37+R38</f>
        <v>3100</v>
      </c>
    </row>
    <row r="38" spans="8:19" x14ac:dyDescent="0.3">
      <c r="O38">
        <f>O37/12</f>
        <v>41.000000000000007</v>
      </c>
      <c r="Q38" s="7"/>
      <c r="R38">
        <v>300</v>
      </c>
    </row>
    <row r="39" spans="8:19" x14ac:dyDescent="0.3">
      <c r="Q39" s="7"/>
      <c r="R39" s="7">
        <f>(P37-S37)/P37</f>
        <v>0.11428571428571428</v>
      </c>
    </row>
    <row r="40" spans="8:19" x14ac:dyDescent="0.3">
      <c r="P40">
        <v>1500</v>
      </c>
      <c r="Q40" s="7">
        <v>0.1</v>
      </c>
      <c r="R40">
        <f>P40*(1-Q40)</f>
        <v>1350</v>
      </c>
    </row>
    <row r="41" spans="8:19" x14ac:dyDescent="0.3">
      <c r="O41">
        <f>S27*(S29-300)</f>
        <v>160824580.31746024</v>
      </c>
      <c r="P41">
        <f>P40</f>
        <v>1500</v>
      </c>
      <c r="Q41" s="7">
        <v>0.2</v>
      </c>
      <c r="R41">
        <f>P41*(1-Q41)</f>
        <v>1200</v>
      </c>
      <c r="S41">
        <f>R41+R42</f>
        <v>1500</v>
      </c>
    </row>
    <row r="42" spans="8:19" x14ac:dyDescent="0.3">
      <c r="O42">
        <v>200000</v>
      </c>
      <c r="Q42" s="7"/>
      <c r="R42">
        <v>300</v>
      </c>
    </row>
    <row r="43" spans="8:19" x14ac:dyDescent="0.3">
      <c r="O43">
        <f>O41/O42</f>
        <v>804.12290158730116</v>
      </c>
      <c r="Q43" s="7"/>
      <c r="R43" s="7">
        <f>(P41-S41)/P41</f>
        <v>0</v>
      </c>
    </row>
    <row r="44" spans="8:19" x14ac:dyDescent="0.3">
      <c r="P44">
        <v>4000</v>
      </c>
      <c r="Q44" s="7">
        <v>0.1</v>
      </c>
      <c r="R44">
        <f>P44*(1-Q44)</f>
        <v>3600</v>
      </c>
    </row>
    <row r="45" spans="8:19" x14ac:dyDescent="0.3">
      <c r="M45">
        <v>6000</v>
      </c>
      <c r="O45">
        <v>500</v>
      </c>
      <c r="P45">
        <f>P44</f>
        <v>4000</v>
      </c>
      <c r="Q45" s="7">
        <v>0.2</v>
      </c>
      <c r="R45">
        <f>P45*(1-Q45)</f>
        <v>3200</v>
      </c>
      <c r="S45">
        <f>R45+R46</f>
        <v>3500</v>
      </c>
    </row>
    <row r="46" spans="8:19" x14ac:dyDescent="0.3">
      <c r="M46">
        <v>0.38700000000000001</v>
      </c>
      <c r="O46">
        <f>O45-O38</f>
        <v>459</v>
      </c>
      <c r="Q46" s="7"/>
      <c r="R46">
        <v>300</v>
      </c>
    </row>
    <row r="47" spans="8:19" x14ac:dyDescent="0.3">
      <c r="M47">
        <f>M45*M46</f>
        <v>2322</v>
      </c>
      <c r="O47">
        <v>0.1</v>
      </c>
      <c r="Q47" s="7"/>
      <c r="R47" s="7">
        <f>(P45-S45)/P45</f>
        <v>0.125</v>
      </c>
    </row>
    <row r="48" spans="8:19" x14ac:dyDescent="0.3">
      <c r="M48">
        <f>M45-M47</f>
        <v>3678</v>
      </c>
      <c r="O48">
        <f>O45*O47</f>
        <v>50</v>
      </c>
      <c r="P48">
        <v>500</v>
      </c>
      <c r="Q48" s="7">
        <v>0.1</v>
      </c>
      <c r="R48">
        <f>P48*(1-Q48)</f>
        <v>450</v>
      </c>
    </row>
    <row r="49" spans="15:19" x14ac:dyDescent="0.3">
      <c r="O49">
        <f>O46-O48</f>
        <v>409</v>
      </c>
      <c r="P49">
        <f>P48</f>
        <v>500</v>
      </c>
      <c r="Q49" s="7">
        <v>0.2</v>
      </c>
      <c r="R49">
        <f>P49*(1-Q49)</f>
        <v>400</v>
      </c>
      <c r="S49">
        <f>R49+R50</f>
        <v>700</v>
      </c>
    </row>
    <row r="50" spans="15:19" x14ac:dyDescent="0.3">
      <c r="R50">
        <v>300</v>
      </c>
    </row>
    <row r="51" spans="15:19" x14ac:dyDescent="0.3">
      <c r="R51" s="7">
        <f>(P49-S49)/P49</f>
        <v>-0.4</v>
      </c>
    </row>
    <row r="52" spans="15:19" x14ac:dyDescent="0.3">
      <c r="P52">
        <v>8000</v>
      </c>
      <c r="Q52" s="7">
        <v>0.1</v>
      </c>
      <c r="R52">
        <f>P52*(1-Q52)</f>
        <v>7200</v>
      </c>
    </row>
    <row r="53" spans="15:19" x14ac:dyDescent="0.3">
      <c r="P53">
        <f>P52</f>
        <v>8000</v>
      </c>
      <c r="Q53" s="7">
        <v>0.2</v>
      </c>
      <c r="R53">
        <f>P53*(1-Q53)</f>
        <v>6400</v>
      </c>
      <c r="S53">
        <f>R53+R54</f>
        <v>6700</v>
      </c>
    </row>
    <row r="54" spans="15:19" x14ac:dyDescent="0.3">
      <c r="Q54" s="7"/>
      <c r="R54">
        <v>300</v>
      </c>
    </row>
    <row r="55" spans="15:19" x14ac:dyDescent="0.3">
      <c r="P55">
        <f>P52</f>
        <v>8000</v>
      </c>
      <c r="Q55" s="7">
        <v>0.16</v>
      </c>
      <c r="R55">
        <f>P55*(1-Q55)</f>
        <v>6720</v>
      </c>
      <c r="S55">
        <f>R55+R56</f>
        <v>6720</v>
      </c>
    </row>
    <row r="56" spans="15:19" x14ac:dyDescent="0.3">
      <c r="Q56" s="7">
        <v>0.4</v>
      </c>
      <c r="S56">
        <f>P55-P55*Q56</f>
        <v>4800</v>
      </c>
    </row>
    <row r="59" spans="15:19" x14ac:dyDescent="0.3">
      <c r="Q59">
        <v>500</v>
      </c>
      <c r="R59">
        <v>400</v>
      </c>
      <c r="S59"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4</vt:i4>
      </vt:variant>
    </vt:vector>
  </HeadingPairs>
  <TitlesOfParts>
    <vt:vector size="12" baseType="lpstr">
      <vt:lpstr>U_tulot</vt:lpstr>
      <vt:lpstr>U_Kuitti_yhteis2019</vt:lpstr>
      <vt:lpstr>Palkkataulukko</vt:lpstr>
      <vt:lpstr>henkilötulot (2)</vt:lpstr>
      <vt:lpstr>Ihmismäärät</vt:lpstr>
      <vt:lpstr>henkilötulot</vt:lpstr>
      <vt:lpstr>V_tulot</vt:lpstr>
      <vt:lpstr>V_Kuitti</vt:lpstr>
      <vt:lpstr>'henkilötulot (2)'!Tulostusalue</vt:lpstr>
      <vt:lpstr>U_Kuitti_yhteis2019!Tulostusalue</vt:lpstr>
      <vt:lpstr>U_tulot!Tulostusalue</vt:lpstr>
      <vt:lpstr>V_tulot!Tulostusalue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Roope</dc:creator>
  <cp:lastModifiedBy>R</cp:lastModifiedBy>
  <cp:lastPrinted>2018-12-23T09:22:10Z</cp:lastPrinted>
  <dcterms:created xsi:type="dcterms:W3CDTF">2016-04-21T05:51:35Z</dcterms:created>
  <dcterms:modified xsi:type="dcterms:W3CDTF">2019-01-02T18:05:30Z</dcterms:modified>
</cp:coreProperties>
</file>